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Inputs" sheetId="2" state="visible" r:id="rId4"/>
    <sheet name="Tariff" sheetId="3" state="visible" r:id="rId5"/>
    <sheet name="Model" sheetId="4" state="visible" r:id="rId6"/>
    <sheet name="Design condition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<sst xmlns="http://schemas.openxmlformats.org/spreadsheetml/2006/main" count="444" uniqueCount="370">
  <si>
    <t xml:space="preserve">Data center delivered-cost model, version 2.1</t>
  </si>
  <si>
    <t xml:space="preserve">Companion workbook to: George, C. B. (2026), Data Center Design, Resilience, Reliability and Sustainability: Power, Cooling, Redundancy and Cost for 100–300 MW Campuses, with a Virginia Reference Design Applied Nationwide and Globally. Sanctir working paper, version 1.1, October 24, 2026. License CC BY-NC-ND 4.0.</t>
  </si>
  <si>
    <t xml:space="preserve">Purpose: compare three power-supply arrangements for a 200 MW IT campus on a common reliability baseline, with the grid bill built from Dominion Energy Virginia tariff components.</t>
  </si>
  <si>
    <t xml:space="preserve">Arrangements: A = grid + diesel backup (N+1); C = grid + dual-fuel gas engines (N+2) + grid-forming battery (recommended configuration); E = onsite engines only (islanded). All three carry the same baseline: 5-minute lithium-ion UPS on IT and CDU load, ride-through-rated cooling drives and transfer settings with an electromagnetic-transient study, and 72 hours of liquid fuel for the installed backup fleet.</t>
  </si>
  <si>
    <t xml:space="preserve">Legend: blue text = hardcoded input (edit these on the Inputs and Tariff sheets); black = formula; green = link to another sheet. Yellow fill marks the inputs most likely to change for another site.</t>
  </si>
  <si>
    <t xml:space="preserve">Every input is an engineering estimate unless its Source column names a tariff sheet, order or filing. Tariff components are entered as published on each Dominion Energy Virginia tariff sheet and summed by formula into the components the bill uses; the bill calculation applies the GS-5 minimum-billing provisions (85% of contracted transmission and distribution demand, 60% of contracted generation demand).</t>
  </si>
  <si>
    <t xml:space="preserve">Outputs on the Model sheet: annual cost by line item, $/MWh, the difference between C and A, and the decomposition of that difference by function. The difference is an indicative modeled cost difference; the common baseline makes the ride-through and UPS service equivalent, but A and C still differ in outage endurance (72 hours of diesel against firm gas plus 72 hours of liquid fuel) and in islanding capability.</t>
  </si>
  <si>
    <t xml:space="preserve">Recalculate after changing inputs. The workbook was verified to compute without errors in LibreOffice on October 24, 2026. Model version 2.1 (October 24, 2026) adds the Schedule GS-4 off-peak generation demand charge and Section IX billing-period proration, prices battery charging losses as energy above the energy delivered, and reserves firm gas for arrangement E at the campus peak; these were round-eight review findings (Appendix B).</t>
  </si>
  <si>
    <t xml:space="preserve">Input</t>
  </si>
  <si>
    <t xml:space="preserve">Value</t>
  </si>
  <si>
    <t xml:space="preserve">Unit</t>
  </si>
  <si>
    <t xml:space="preserve">Source / note</t>
  </si>
  <si>
    <t xml:space="preserve">Campus</t>
  </si>
  <si>
    <t xml:space="preserve">Critical IT load</t>
  </si>
  <si>
    <t xml:space="preserve">MW</t>
  </si>
  <si>
    <t xml:space="preserve">Reference design, Appendix A</t>
  </si>
  <si>
    <t xml:space="preserve">Annual PUE</t>
  </si>
  <si>
    <t xml:space="preserve">ratio</t>
  </si>
  <si>
    <t xml:space="preserve">Section 6 estimate (1.12–1.20 range)</t>
  </si>
  <si>
    <t xml:space="preserve">Peak facility load (billing demand)</t>
  </si>
  <si>
    <t xml:space="preserve">Appendix A</t>
  </si>
  <si>
    <t xml:space="preserve">Capital recovery factor</t>
  </si>
  <si>
    <t xml:space="preserve">per year</t>
  </si>
  <si>
    <t xml:space="preserve">About 20 years at 8%</t>
  </si>
  <si>
    <t xml:space="preserve">Hours per year</t>
  </si>
  <si>
    <t xml:space="preserve">h</t>
  </si>
  <si>
    <t xml:space="preserve">Common baseline (identical in A, C and E)</t>
  </si>
  <si>
    <t xml:space="preserve">UPS-protected load (IT plus CDU pumps)</t>
  </si>
  <si>
    <t xml:space="preserve">Section 9</t>
  </si>
  <si>
    <t xml:space="preserve">UPS installed cost</t>
  </si>
  <si>
    <t xml:space="preserve">$/kW</t>
  </si>
  <si>
    <t xml:space="preserve">Engineering estimate, lithium-ion double-conversion UPS with switchgear</t>
  </si>
  <si>
    <t xml:space="preserve">UPS fixed O&amp;M</t>
  </si>
  <si>
    <t xml:space="preserve">$/kW-yr</t>
  </si>
  <si>
    <t xml:space="preserve">Engineering estimate</t>
  </si>
  <si>
    <t xml:space="preserve">Ride-through package (drives, controls, EMT study)</t>
  </si>
  <si>
    <t xml:space="preserve">$ one-off</t>
  </si>
  <si>
    <t xml:space="preserve">Engineering estimate; Section 8 steps 1–4</t>
  </si>
  <si>
    <t xml:space="preserve">Liquid fuel storage, 72 hours</t>
  </si>
  <si>
    <t xml:space="preserve">$/MW of backup</t>
  </si>
  <si>
    <t xml:space="preserve">Engineering estimate; tanks, containment, fuel polishing</t>
  </si>
  <si>
    <t xml:space="preserve">Configuration A: diesel backup</t>
  </si>
  <si>
    <t xml:space="preserve">Diesel fleet (N+1)</t>
  </si>
  <si>
    <t xml:space="preserve">Appendix A basis: 240 MW peak plus one spare 24 MW block</t>
  </si>
  <si>
    <t xml:space="preserve">Diesel installed cost</t>
  </si>
  <si>
    <t xml:space="preserve">Engineering estimate, Tier 4-equivalent gensets with paralleling switchgear</t>
  </si>
  <si>
    <t xml:space="preserve">Diesel fixed O&amp;M</t>
  </si>
  <si>
    <t xml:space="preserve">Test and emergency run hours</t>
  </si>
  <si>
    <t xml:space="preserve">h/yr</t>
  </si>
  <si>
    <t xml:space="preserve">NFPA 110 monthly exercise plus emergencies</t>
  </si>
  <si>
    <t xml:space="preserve">Diesel generation cost</t>
  </si>
  <si>
    <t xml:space="preserve">$/MWh</t>
  </si>
  <si>
    <t xml:space="preserve">About 70 gal/MWh at $2.90/gal</t>
  </si>
  <si>
    <t xml:space="preserve">Configuration C: dual-fuel engines and battery</t>
  </si>
  <si>
    <t xml:space="preserve">Gas engine fleet (16 × 20 MW, N+2)</t>
  </si>
  <si>
    <t xml:space="preserve">Engine installed cost incl. SCR</t>
  </si>
  <si>
    <t xml:space="preserve">Engineering estimate; Section 4 range $1,500–2,500</t>
  </si>
  <si>
    <t xml:space="preserve">Engine fixed O&amp;M</t>
  </si>
  <si>
    <t xml:space="preserve">Engine heat rate</t>
  </si>
  <si>
    <t xml:space="preserve">MMBtu/MWh</t>
  </si>
  <si>
    <t xml:space="preserve">HHV; about 40% efficiency</t>
  </si>
  <si>
    <t xml:space="preserve">Outage and emergency run hours</t>
  </si>
  <si>
    <t xml:space="preserve">Henrico code limits operation to outages and testing</t>
  </si>
  <si>
    <t xml:space="preserve">Engine variable O&amp;M</t>
  </si>
  <si>
    <t xml:space="preserve">Gas lateral and metering</t>
  </si>
  <si>
    <t xml:space="preserve">Engineering estimate; Section 5</t>
  </si>
  <si>
    <t xml:space="preserve">Firm gas transportation reservation</t>
  </si>
  <si>
    <t xml:space="preserve">$/Dth-day</t>
  </si>
  <si>
    <t xml:space="preserve">Engineering estimate for a Transco Zone 5 lateral; confirm against the pipeline tariff</t>
  </si>
  <si>
    <t xml:space="preserve">Battery power</t>
  </si>
  <si>
    <t xml:space="preserve">Battery energy</t>
  </si>
  <si>
    <t xml:space="preserve">MWh</t>
  </si>
  <si>
    <t xml:space="preserve">Battery installed cost</t>
  </si>
  <si>
    <t xml:space="preserve">$/kWh</t>
  </si>
  <si>
    <t xml:space="preserve">Engineering estimate, grid-forming inverters included</t>
  </si>
  <si>
    <t xml:space="preserve">Battery fixed O&amp;M</t>
  </si>
  <si>
    <t xml:space="preserve">Battery augmentation</t>
  </si>
  <si>
    <t xml:space="preserve">fraction of capex per year</t>
  </si>
  <si>
    <t xml:space="preserve">Battery full cycles per year (energy delivered)</t>
  </si>
  <si>
    <t xml:space="preserve">cycles</t>
  </si>
  <si>
    <t xml:space="preserve">Curtailment, peak shaving and testing; charging losses are the energy drawn above the energy delivered, (1/RTE - 1) per cycle</t>
  </si>
  <si>
    <t xml:space="preserve">Battery round-trip efficiency</t>
  </si>
  <si>
    <t xml:space="preserve">Capacity-credit scenario: generation demand reduction</t>
  </si>
  <si>
    <t xml:space="preserve">Scenario only; no current Dominion tariff provision grants it (Section 12)</t>
  </si>
  <si>
    <t xml:space="preserve">Configuration E: onsite engines only</t>
  </si>
  <si>
    <t xml:space="preserve">Engine fleet (islanded)</t>
  </si>
  <si>
    <t xml:space="preserve">Section 13</t>
  </si>
  <si>
    <t xml:space="preserve">As above</t>
  </si>
  <si>
    <t xml:space="preserve">Cases</t>
  </si>
  <si>
    <t xml:space="preserve">Gas price, base and uncapped cases</t>
  </si>
  <si>
    <t xml:space="preserve">$/MMBtu</t>
  </si>
  <si>
    <t xml:space="preserve">Henry Hub plus basis, engineering assumption</t>
  </si>
  <si>
    <t xml:space="preserve">Gas price, high-gas case</t>
  </si>
  <si>
    <t xml:space="preserve">Stress case</t>
  </si>
  <si>
    <t xml:space="preserve">Rider A fuel-factor multiplier, high-gas case</t>
  </si>
  <si>
    <t xml:space="preserve">Assumption: gas-fired generation and gas-indexed purchased power make up roughly half to two-thirds of the fuel factor; see Tariff sheet note</t>
  </si>
  <si>
    <t xml:space="preserve">PJM uncapped Dominion-zone price (2027/28 simulation)</t>
  </si>
  <si>
    <t xml:space="preserve">$/MW-day</t>
  </si>
  <si>
    <t xml:space="preserve">PJM 2027/28 BRA report appendix</t>
  </si>
  <si>
    <t xml:space="preserve">PJM 2027/28 clearing price (cap)</t>
  </si>
  <si>
    <t xml:space="preserve">PJM 2027/28 BRA results</t>
  </si>
  <si>
    <t xml:space="preserve">Dominion Energy Virginia component</t>
  </si>
  <si>
    <t xml:space="preserve">Rate</t>
  </si>
  <si>
    <t xml:space="preserve">Source (tariff sheet, order or filing) and note</t>
  </si>
  <si>
    <t xml:space="preserve">Published components (enter as on the tariff sheet)</t>
  </si>
  <si>
    <t xml:space="preserve">Component</t>
  </si>
  <si>
    <t xml:space="preserve">Effective; source and note</t>
  </si>
  <si>
    <t xml:space="preserve">Basic customer charge (Schedule GS-4, transmission voltage)</t>
  </si>
  <si>
    <t xml:space="preserve">$/month</t>
  </si>
  <si>
    <t xml:space="preserve">Effective 01-01-2026. Schedule GS-4, Large General Service, filed 12-09-25, effective for usage on and after 01-01-26 (dominionenergy.com, large-business/schedule-gs4.pdf)</t>
  </si>
  <si>
    <t xml:space="preserve">Distribution demand charge (zero at 69 kV and above)</t>
  </si>
  <si>
    <t xml:space="preserve">$/kW-month</t>
  </si>
  <si>
    <t xml:space="preserve">Effective 01-01-2026. Schedule GS-4: $2.717/kW for the first 5,000 kW and $2.076/kW thereafter at primary voltage; not charged at delivery voltages of 69 kV and above. The reference design connects at 230 kV.</t>
  </si>
  <si>
    <t xml:space="preserve">Transmission demand charge, base</t>
  </si>
  <si>
    <t xml:space="preserve">Effective 01-01-2026. Schedule GS-4, transmission voltage, on on-peak electricity-supply demand</t>
  </si>
  <si>
    <t xml:space="preserve">Generation demand charge, on-peak</t>
  </si>
  <si>
    <t xml:space="preserve">Effective 01-01-2026. Schedule GS-4 II.B.1, transmission voltage, on on-peak electricity-supply demand (Section VI). From January 1, 2027, Section VIII applies to customers of 25 MW or more that do not qualify for GS-5: generation demand is the highest of the measured on-peak demand, 75% of the prior summer's peak, or 60% of contracted demand, and when the 60% floor controls the charge excludes PJM capacity expense.</t>
  </si>
  <si>
    <t xml:space="preserve">Generation demand charge, off-peak (on off-peak demand above 90% of on-peak demand, Section VII)</t>
  </si>
  <si>
    <t xml:space="preserve">Effective 01-01-2026. Schedule GS-4 II.B.2 and VII. For a flat 240 MW load the billable off-peak demand is 10% of on-peak demand, 24,000 kW.</t>
  </si>
  <si>
    <t xml:space="preserve">Rider T1 (transmission)</t>
  </si>
  <si>
    <t xml:space="preserve">Effective 09-01-2026. Rider T1 sheet, effective 09-01-26 (dominionenergy.com, shared/rider-t1.pdf); $4.729/kW at primary voltage. Billed on on-peak electricity-supply demand like the base transmission charge; grouped with transmission demand for the GS-5 85% minimum.</t>
  </si>
  <si>
    <t xml:space="preserve">Rider E (environmental)</t>
  </si>
  <si>
    <t xml:space="preserve">Effective 11-01-2025. Rider E sheet (shared/rider-e.pdf). Riders E, GEN, SNA, CERC, SMR, CE and OSW are billed on on-peak electricity-supply demand; grouped with generation demand for the GS-5 60% minimum in the credit scenario.</t>
  </si>
  <si>
    <t xml:space="preserve">Rider GEN (generation facilities)</t>
  </si>
  <si>
    <t xml:space="preserve">Effective 04-01-2026. Rider GEN sheet (shared/rider-gen.pdf)</t>
  </si>
  <si>
    <t xml:space="preserve">Rider SNA (Surry and North Anna life extension)</t>
  </si>
  <si>
    <t xml:space="preserve">Effective 09-01-2026. Rider SNA sheet (shared/rider-sna.pdf)</t>
  </si>
  <si>
    <t xml:space="preserve">Rider CERC (Chesterfield Energy Reliability Center)</t>
  </si>
  <si>
    <t xml:space="preserve">Effective 03-01-2026. Rider CE sheet (shared/rider-ce.pdf). Non-bypassable; the Exhibit of Applicable Riders notes exceptions for qualifying accelerated renewable energy buyers and certain grandfathered competitive-supply customers. The modeled customer is a bundled-service customer with no exemption.</t>
  </si>
  <si>
    <t xml:space="preserve">Rider SMR (small modular reactor development)</t>
  </si>
  <si>
    <t xml:space="preserve">Effective 09-01-2026. Rider SMR sheet (shared/rider-smr.pdf), through 08-31-27</t>
  </si>
  <si>
    <t xml:space="preserve">Rider CE (clean energy, non-bypassable)</t>
  </si>
  <si>
    <t xml:space="preserve">Effective 05-01-2026. Rider CE sheet (shared/rider-ce.pdf). Non-bypassable; the Exhibit of Applicable Riders notes exceptions for qualifying accelerated renewable energy buyers and certain grandfathered competitive-supply customers. The modeled customer is a bundled-service customer with no exemption.</t>
  </si>
  <si>
    <t xml:space="preserve">Rider OSW (Coastal Virginia Offshore Wind, non-bypassable)</t>
  </si>
  <si>
    <t xml:space="preserve">Effective 09-01-2026. Rider OSW sheet (shared/rider-osw.pdf)</t>
  </si>
  <si>
    <t xml:space="preserve">Rider DIST (distribution projects; zero at transmission voltage)</t>
  </si>
  <si>
    <t xml:space="preserve">Effective 06-01-2026. Rider DIST sheet (shared/rider-dist.pdf); $0.311/kW on distribution demand at primary voltage</t>
  </si>
  <si>
    <t xml:space="preserve">Generation energy charge, blended on-peak and off-peak</t>
  </si>
  <si>
    <t xml:space="preserve">Effective 01-01-2026. Schedule GS-4: 0.4648 cents/kWh on-peak, 0.3299 cents/kWh off-peak. On-peak hours are weekdays 10 a.m. to 10 p.m. June through September and 7 a.m. to 10 p.m. October through May, about 3,650 of 8,760 hours (41.7%); a flat load pays the hour-weighted blend.</t>
  </si>
  <si>
    <t xml:space="preserve">Distribution energy charge</t>
  </si>
  <si>
    <t xml:space="preserve">Effective 01-01-2026. Schedule GS-4, transmission voltage</t>
  </si>
  <si>
    <t xml:space="preserve">Rider A (fuel factor), interim</t>
  </si>
  <si>
    <t xml:space="preserve">Effective 07-01-2026. Rider A sheet filed 05-29-26, effective 07-01-26 (shared/rider-a.pdf), Case PUR-2026-00058. PJM capacity cost is recovered in base rates, not through Rider A (SCC final order, Case PUR-2025-00058, November 25, 2025).</t>
  </si>
  <si>
    <t xml:space="preserve">Rider CCR (coal combustion residuals, non-bypassable)</t>
  </si>
  <si>
    <t xml:space="preserve">Effective 01-01-2026. Rider CCR sheet (shared/rider-ccr.pdf)</t>
  </si>
  <si>
    <t xml:space="preserve">Rider RPS (renewable portfolio standard, non-bypassable)</t>
  </si>
  <si>
    <t xml:space="preserve">Effective 09-01-2026. Rider RPS sheet (shared/rider-rps.pdf). Non-bypassable; same exceptions as Rider CE for accelerated renewable energy buyers. The modeled customer is a bundled-service customer with no exemption.</t>
  </si>
  <si>
    <t xml:space="preserve">Rider C1A (peak shaving)</t>
  </si>
  <si>
    <t xml:space="preserve">Effective 09-01-2026. Rider C1A sheet (shared/rider-c1a.pdf)</t>
  </si>
  <si>
    <t xml:space="preserve">Rider C4A (energy efficiency)</t>
  </si>
  <si>
    <t xml:space="preserve">Effective 09-01-2026. Rider C4A sheet (shared/rider-c4a.pdf)</t>
  </si>
  <si>
    <t xml:space="preserve">Rider RGGI and Rider PIPP</t>
  </si>
  <si>
    <t xml:space="preserve">Effective 04-01-2025. Both at 0.0000 cents/kWh on the current sheets</t>
  </si>
  <si>
    <t xml:space="preserve">Deferred fuel cost charge (2023 securitization bonds), all kWh</t>
  </si>
  <si>
    <t xml:space="preserve">Effective 08-01-2026. Deferred Fuel Cost Charge sheet, filed 06-15-26, effective 08-01-26 (shared/deferred-fuel-cost-charge-tariff.pdf): non-bypassable, 0.2901 cents/kWh on all kWh under Schedule GS-4 among others. Read on October 24, 2026.</t>
  </si>
  <si>
    <t xml:space="preserve">Components as used in the bill (formulas summing the rows above)</t>
  </si>
  <si>
    <t xml:space="preserve">Basic customer charge</t>
  </si>
  <si>
    <t xml:space="preserve">Distribution demand charge (on T&amp;D billing demand)</t>
  </si>
  <si>
    <t xml:space="preserve">Transmission demand charge, base (on T&amp;D billing demand)</t>
  </si>
  <si>
    <t xml:space="preserve">Generation demand charge, on-peak (on generation billing demand)</t>
  </si>
  <si>
    <t xml:space="preserve">Generation demand charge, off-peak (on off-peak demand above the threshold share of on-peak demand)</t>
  </si>
  <si>
    <t xml:space="preserve">Transmission-demand riders (Rider T1)</t>
  </si>
  <si>
    <t xml:space="preserve">Generation-demand riders (E, GEN, SNA, CERC, SMR, CE, OSW, DIST)</t>
  </si>
  <si>
    <t xml:space="preserve">Base energy charges (generation blended plus distribution)</t>
  </si>
  <si>
    <t xml:space="preserve">Fuel factor (Rider A)</t>
  </si>
  <si>
    <t xml:space="preserve">Energy-based riders (CCR, RPS, C1A, C4A, RGGI, PIPP, deferred fuel)</t>
  </si>
  <si>
    <t xml:space="preserve">Off-peak demand threshold (share of on-peak demand above which off-peak demand is billed)</t>
  </si>
  <si>
    <t xml:space="preserve">fraction</t>
  </si>
  <si>
    <t xml:space="preserve">Schedule GS-4 Section VII</t>
  </si>
  <si>
    <t xml:space="preserve">Billing days in the year (Schedule GS-4 Section IX prorates the schedule charges by days/30)</t>
  </si>
  <si>
    <t xml:space="preserve">days</t>
  </si>
  <si>
    <t xml:space="preserve">Schedule GS-4 Section IX; riders are billed at 12 months (no proration clause on the Rider T1 sheet)</t>
  </si>
  <si>
    <t xml:space="preserve">GS-5 minimum billing, transmission and distribution demand</t>
  </si>
  <si>
    <t xml:space="preserve">fraction of contracted demand</t>
  </si>
  <si>
    <t xml:space="preserve">SCC final order, PUR-2025-00058, November 25, 2025; Schedule GS-4 Section VIII from January 1, 2027</t>
  </si>
  <si>
    <t xml:space="preserve">GS-5 minimum billing, generation demand</t>
  </si>
  <si>
    <t xml:space="preserve">SCC final order, PUR-2025-00058</t>
  </si>
  <si>
    <t xml:space="preserve">Share of the generation demand charge scaled with the PJM capacity price (uncapped case)</t>
  </si>
  <si>
    <t xml:space="preserve">Assumption; the generation demand charge ($111/kW-yr) is close to the 2027/28 PJM capped price ($122/kW-yr), so 100% is equivalent to passing the full uncapped increment through. See note below.</t>
  </si>
  <si>
    <t xml:space="preserve">Bill calculation for the reference campus (annual)</t>
  </si>
  <si>
    <t xml:space="preserve">Energy (MWh/yr)</t>
  </si>
  <si>
    <t xml:space="preserve">Billing demand, T&amp;D (kW, after 85% minimum)</t>
  </si>
  <si>
    <t xml:space="preserve">Billing demand, generation (kW, no credit)</t>
  </si>
  <si>
    <t xml:space="preserve">Billing demand, generation (kW, credit scenario)</t>
  </si>
  <si>
    <t xml:space="preserve">Billable off-peak demand (kW, no credit)</t>
  </si>
  <si>
    <t xml:space="preserve">Billable off-peak demand (kW, credit scenario)</t>
  </si>
  <si>
    <t xml:space="preserve">Schedule charge months per year (billing days / 30)</t>
  </si>
  <si>
    <t xml:space="preserve">Customer charge (prorated)</t>
  </si>
  <si>
    <t xml:space="preserve">Distribution demand (prorated)</t>
  </si>
  <si>
    <t xml:space="preserve">Transmission demand, base (prorated)</t>
  </si>
  <si>
    <t xml:space="preserve">Transmission-demand riders</t>
  </si>
  <si>
    <t xml:space="preserve">Generation demand, on-peak (prorated)</t>
  </si>
  <si>
    <t xml:space="preserve">Generation demand, off-peak (prorated)</t>
  </si>
  <si>
    <t xml:space="preserve">Generation-demand riders</t>
  </si>
  <si>
    <t xml:space="preserve">Base energy charges</t>
  </si>
  <si>
    <t xml:space="preserve">Energy-based riders</t>
  </si>
  <si>
    <t xml:space="preserve">Annual bill, base case (no credit)</t>
  </si>
  <si>
    <t xml:space="preserve">Effective rate ($/MWh)</t>
  </si>
  <si>
    <t xml:space="preserve">Effective rate (¢/kWh)</t>
  </si>
  <si>
    <t xml:space="preserve">Basis: Dominion Energy Virginia Schedule GS-4 (Large General Service) at transmission delivery voltage, with the riders listed in the Exhibit of Applicable Riders filed 09-16-26 and effective 09-01-26. Schedule GS-5, the rate class created by the SCC's final order in Case PUR-2025-00058 (November 25, 2025) for customers of 25 MW or more at a 75% load factor, applies to agreements signed on or after January 1, 2027; its unit rates had not been published at the status date (compliance tariffs are due 45 days before the effective date), so GS-4 transmission-voltage rates are the proxy and the GS-5 minimum-billing provisions (85% of contracted transmission and distribution demand, 60% of contracted generation demand, PJM capacity excluded from the 60% floor) are applied. Tariff sheets were read on dominionenergy.com on October 23, 2026 (Tier 1 for the rates; the mapping of the sheets to a GS-5 bill is the author's).</t>
  </si>
  <si>
    <t xml:space="preserve">Not modeled: the Virginia consumption tax and local utility taxes, the reactive (rkVA) demand charge, excess-facilities charges, Rider D (tax gross-up on contributions in aid of construction), GS-5 collateral ($1.5 million per MW, reducible by 70%), and the direct-connect transmission contribution ordered in Case PUR-2026-00056 (July 31, 2026), whose implementing line-extension policy is pending and for which no amounts have been set. Billing-period proration: Schedule GS-4 Section IX multiplies the customer charge and the on-peak, off-peak and transmission demand charges by the days in the billing period divided by 30, so over 365 days those charges total 365/30 months rather than 12; the model applies that factor to the Schedule GS-4 charges and bills the riders at 12 months (the Rider T1 sheet states no proration clause; the other rider sheets were not checked for one). The high-gas case raises the Rider A fuel factor by 50%, an assumption rather than a derivation from Dominion's fuel mix (gas-fired generation and gas-indexed purchased power account for roughly half to two-thirds of the factor; the factor rose from 2.07 to 3.76 cents/kWh between July 2024 and July 2026); base energy and demand rates do not move with gas prices between rate cases. The uncapped-capacity case escalates the whole generation demand charge ($111/kW-yr, close to the 2027/28 PJM capped price of $122/kW-yr) by the ratio of PJM's uncapped Dominion-zone simulation ($542.83/MW-day) to the capped clearing price ($333.44/MW-day); because only part of that charge is purchased-capacity expense, this is an upper-bound stress case, not an estimate of the bill an uncapped auction would produce. The capacity-credit scenario lowers generation billing demand to the 60% floor (144 MW) and prices the floor at the full generation demand charge; Schedule GS-4 VIII.B.2 excludes PJM capacity expense when the floor controls, which cannot be implemented without the unpublished capacity component, so the scenario bill is an upper bound of a floor bill.</t>
  </si>
  <si>
    <t xml:space="preserve">Annual cost ($) by configuration and case; formulas reference Inputs and Tariff</t>
  </si>
  <si>
    <t xml:space="preserve">Line item</t>
  </si>
  <si>
    <t xml:space="preserve">A | Base</t>
  </si>
  <si>
    <t xml:space="preserve">C | Base</t>
  </si>
  <si>
    <t xml:space="preserve">C+credit | Base</t>
  </si>
  <si>
    <t xml:space="preserve">E | Base</t>
  </si>
  <si>
    <t xml:space="preserve">A | High gas ($8/MMBtu)</t>
  </si>
  <si>
    <t xml:space="preserve">C | High gas ($8/MMBtu)</t>
  </si>
  <si>
    <t xml:space="preserve">C+credit | High gas ($8/MMBtu)</t>
  </si>
  <si>
    <t xml:space="preserve">E | High gas ($8/MMBtu)</t>
  </si>
  <si>
    <t xml:space="preserve">A | Uncapped capacity</t>
  </si>
  <si>
    <t xml:space="preserve">C | Uncapped capacity</t>
  </si>
  <si>
    <t xml:space="preserve">C+credit | Uncapped capacity</t>
  </si>
  <si>
    <t xml:space="preserve">E | Uncapped capacity</t>
  </si>
  <si>
    <t xml:space="preserve">Grid bill (tariff components)</t>
  </si>
  <si>
    <t xml:space="preserve">UPS (capital recovery + O&amp;M)</t>
  </si>
  <si>
    <t xml:space="preserve">Ride-through package (capital recovery)</t>
  </si>
  <si>
    <t xml:space="preserve">Backup fleet capital and fixed O&amp;M</t>
  </si>
  <si>
    <t xml:space="preserve">Fuel and variable O&amp;M</t>
  </si>
  <si>
    <t xml:space="preserve">Battery capital, O&amp;M, augmentation and losses</t>
  </si>
  <si>
    <t xml:space="preserve">Total annual cost ($)</t>
  </si>
  <si>
    <t xml:space="preserve">Delivered cost ($/MWh)</t>
  </si>
  <si>
    <t xml:space="preserve">Difference C minus A ($/MWh)</t>
  </si>
  <si>
    <t xml:space="preserve">Difference C minus A ($ per year)</t>
  </si>
  <si>
    <t xml:space="preserve">Decomposition of the base-case difference C minus A ($/MWh)</t>
  </si>
  <si>
    <t xml:space="preserve">Engines in place of diesel (capital, O&amp;M, lateral, tanks)</t>
  </si>
  <si>
    <t xml:space="preserve">Firm gas transportation</t>
  </si>
  <si>
    <t xml:space="preserve">Engine run hours less diesel test hours</t>
  </si>
  <si>
    <t xml:space="preserve">Battery (capital, O&amp;M, augmentation, losses)</t>
  </si>
  <si>
    <t xml:space="preserve">Total difference, no capacity credit</t>
  </si>
  <si>
    <t xml:space="preserve">Capacity-credit scenario (reduction, if a tariff mechanism grants it)</t>
  </si>
  <si>
    <t xml:space="preserve">Total difference, credit scenario</t>
  </si>
  <si>
    <t xml:space="preserve">Notes: A and C share the UPS, ride-through package and fuel-storage baseline, so the difference reflects the engine fleet, firm gas, the battery and their operating costs. A and C still differ in outage endurance and islanding capability; the difference is an indicative modeled cost, not a measured price of resilience. E has no grid bill and no ride-through obligation but carries the full fuel cost and a major-source permit (Section 13).</t>
  </si>
  <si>
    <t xml:space="preserve">Key</t>
  </si>
  <si>
    <t xml:space="preserve">Station</t>
  </si>
  <si>
    <t xml:space="preserve">WMO</t>
  </si>
  <si>
    <t xml:space="preserve">0.4% DB (°C)</t>
  </si>
  <si>
    <t xml:space="preserve">1% DB (°C)</t>
  </si>
  <si>
    <t xml:space="preserve">2% DB (°C)</t>
  </si>
  <si>
    <t xml:space="preserve">MCWB at 0.4% (°C)</t>
  </si>
  <si>
    <t xml:space="preserve">TMYx max (°C)</t>
  </si>
  <si>
    <t xml:space="preserve">Hours &gt;27°C</t>
  </si>
  <si>
    <t xml:space="preserve">Hours &gt;30°C</t>
  </si>
  <si>
    <t xml:space="preserve">Hours &gt;32°C</t>
  </si>
  <si>
    <t xml:space="preserve">Hours &gt;34°C</t>
  </si>
  <si>
    <t xml:space="preserve">Hours &gt;36°C</t>
  </si>
  <si>
    <t xml:space="preserve">Hours &gt;38°C</t>
  </si>
  <si>
    <t xml:space="preserve">Hours &gt;40°C</t>
  </si>
  <si>
    <t xml:space="preserve">Richmond</t>
  </si>
  <si>
    <t xml:space="preserve">Richmond Intl AP</t>
  </si>
  <si>
    <t xml:space="preserve">724010</t>
  </si>
  <si>
    <t xml:space="preserve">Dulles</t>
  </si>
  <si>
    <t xml:space="preserve">Washington Dulles Intl AP</t>
  </si>
  <si>
    <t xml:space="preserve">724030</t>
  </si>
  <si>
    <t xml:space="preserve">Atlanta</t>
  </si>
  <si>
    <t xml:space="preserve">Atlanta Hartsfield-Jackson Intl AP</t>
  </si>
  <si>
    <t xml:space="preserve">722190</t>
  </si>
  <si>
    <t xml:space="preserve">Houston</t>
  </si>
  <si>
    <t xml:space="preserve">Houston Bush Intercontinental AP</t>
  </si>
  <si>
    <t xml:space="preserve">722430</t>
  </si>
  <si>
    <t xml:space="preserve">Dallas</t>
  </si>
  <si>
    <t xml:space="preserve">Dallas-Fort Worth Intl AP</t>
  </si>
  <si>
    <t xml:space="preserve">722590</t>
  </si>
  <si>
    <t xml:space="preserve">Phoenix</t>
  </si>
  <si>
    <t xml:space="preserve">Phoenix Sky Harbor Intl AP</t>
  </si>
  <si>
    <t xml:space="preserve">722780</t>
  </si>
  <si>
    <t xml:space="preserve">LasVegas</t>
  </si>
  <si>
    <t xml:space="preserve">Las Vegas McCarran Intl AP</t>
  </si>
  <si>
    <t xml:space="preserve">723860</t>
  </si>
  <si>
    <t xml:space="preserve">Reno</t>
  </si>
  <si>
    <t xml:space="preserve">Reno-Tahoe Intl AP</t>
  </si>
  <si>
    <t xml:space="preserve">724880</t>
  </si>
  <si>
    <t xml:space="preserve">Chicago</t>
  </si>
  <si>
    <t xml:space="preserve">Chicago O'Hare Intl AP</t>
  </si>
  <si>
    <t xml:space="preserve">725300</t>
  </si>
  <si>
    <t xml:space="preserve">Columbus</t>
  </si>
  <si>
    <t xml:space="preserve">Columbus John Glenn Intl AP</t>
  </si>
  <si>
    <t xml:space="preserve">724280</t>
  </si>
  <si>
    <t xml:space="preserve">DesMoines</t>
  </si>
  <si>
    <t xml:space="preserve">Des Moines Intl AP</t>
  </si>
  <si>
    <t xml:space="preserve">725460</t>
  </si>
  <si>
    <t xml:space="preserve">Portland</t>
  </si>
  <si>
    <t xml:space="preserve">Portland Intl AP</t>
  </si>
  <si>
    <t xml:space="preserve">726980</t>
  </si>
  <si>
    <t xml:space="preserve">MosesLake</t>
  </si>
  <si>
    <t xml:space="preserve">Moses Lake Grant County Intl AP (for Quincy)</t>
  </si>
  <si>
    <t xml:space="preserve">727827</t>
  </si>
  <si>
    <t xml:space="preserve">Boise</t>
  </si>
  <si>
    <t xml:space="preserve">Boise Air Terminal</t>
  </si>
  <si>
    <t xml:space="preserve">726810</t>
  </si>
  <si>
    <t xml:space="preserve">SaltLake</t>
  </si>
  <si>
    <t xml:space="preserve">Salt Lake City Intl AP</t>
  </si>
  <si>
    <t xml:space="preserve">725720</t>
  </si>
  <si>
    <t xml:space="preserve">Dublin</t>
  </si>
  <si>
    <t xml:space="preserve">Dublin AP</t>
  </si>
  <si>
    <t xml:space="preserve">039690</t>
  </si>
  <si>
    <t xml:space="preserve">London</t>
  </si>
  <si>
    <t xml:space="preserve">London Heathrow</t>
  </si>
  <si>
    <t xml:space="preserve">037720</t>
  </si>
  <si>
    <t xml:space="preserve">Amsterdam</t>
  </si>
  <si>
    <t xml:space="preserve">Amsterdam Schiphol</t>
  </si>
  <si>
    <t xml:space="preserve">062400</t>
  </si>
  <si>
    <t xml:space="preserve">Frankfurt</t>
  </si>
  <si>
    <t xml:space="preserve">Frankfurt AP</t>
  </si>
  <si>
    <t xml:space="preserve">106370</t>
  </si>
  <si>
    <t xml:space="preserve">Paris</t>
  </si>
  <si>
    <t xml:space="preserve">Paris-Orly</t>
  </si>
  <si>
    <t xml:space="preserve">071490</t>
  </si>
  <si>
    <t xml:space="preserve">Madrid</t>
  </si>
  <si>
    <t xml:space="preserve">Madrid-Barajas</t>
  </si>
  <si>
    <t xml:space="preserve">082210</t>
  </si>
  <si>
    <t xml:space="preserve">Stockholm</t>
  </si>
  <si>
    <t xml:space="preserve">Stockholm Arlanda</t>
  </si>
  <si>
    <t xml:space="preserve">024600</t>
  </si>
  <si>
    <t xml:space="preserve">Oslo</t>
  </si>
  <si>
    <t xml:space="preserve">Oslo Gardermoen</t>
  </si>
  <si>
    <t xml:space="preserve">013840</t>
  </si>
  <si>
    <t xml:space="preserve">Helsinki</t>
  </si>
  <si>
    <t xml:space="preserve">Helsinki-Vantaa</t>
  </si>
  <si>
    <t xml:space="preserve">029740</t>
  </si>
  <si>
    <t xml:space="preserve">Singapore</t>
  </si>
  <si>
    <t xml:space="preserve">Singapore Changi</t>
  </si>
  <si>
    <t xml:space="preserve">486980</t>
  </si>
  <si>
    <t xml:space="preserve">Johor</t>
  </si>
  <si>
    <t xml:space="preserve">Johor (Senai) AP</t>
  </si>
  <si>
    <t xml:space="preserve">486790</t>
  </si>
  <si>
    <t xml:space="preserve">Tokyo</t>
  </si>
  <si>
    <t xml:space="preserve">Tokyo (Chiyoda)</t>
  </si>
  <si>
    <t xml:space="preserve">476620</t>
  </si>
  <si>
    <t xml:space="preserve">Osaka</t>
  </si>
  <si>
    <t xml:space="preserve">477720</t>
  </si>
  <si>
    <t xml:space="preserve">Seoul</t>
  </si>
  <si>
    <t xml:space="preserve">471080</t>
  </si>
  <si>
    <t xml:space="preserve">Mumbai</t>
  </si>
  <si>
    <t xml:space="preserve">Mumbai Shivaji Intl AP</t>
  </si>
  <si>
    <t xml:space="preserve">430030</t>
  </si>
  <si>
    <t xml:space="preserve">Chennai</t>
  </si>
  <si>
    <t xml:space="preserve">Chennai Intl AP</t>
  </si>
  <si>
    <t xml:space="preserve">432790</t>
  </si>
  <si>
    <t xml:space="preserve">Hyderabad</t>
  </si>
  <si>
    <t xml:space="preserve">Hyderabad Rajiv Gandhi Intl AP</t>
  </si>
  <si>
    <t xml:space="preserve">431285</t>
  </si>
  <si>
    <t xml:space="preserve">Sydney</t>
  </si>
  <si>
    <t xml:space="preserve">Sydney Kingsford Smith AP</t>
  </si>
  <si>
    <t xml:space="preserve">947670</t>
  </si>
  <si>
    <t xml:space="preserve">Melbourne</t>
  </si>
  <si>
    <t xml:space="preserve">Melbourne Tullamarine AP</t>
  </si>
  <si>
    <t xml:space="preserve">948660</t>
  </si>
  <si>
    <t xml:space="preserve">AbuDhabi</t>
  </si>
  <si>
    <t xml:space="preserve">Abu Dhabi Intl AP</t>
  </si>
  <si>
    <t xml:space="preserve">412170</t>
  </si>
  <si>
    <t xml:space="preserve">Riyadh</t>
  </si>
  <si>
    <t xml:space="preserve">Riyadh King Khalid Intl AP</t>
  </si>
  <si>
    <t xml:space="preserve">404370</t>
  </si>
  <si>
    <t xml:space="preserve">SaoPaulo</t>
  </si>
  <si>
    <t xml:space="preserve">Sao Paulo Guarulhos AP</t>
  </si>
  <si>
    <t xml:space="preserve">830750</t>
  </si>
  <si>
    <t xml:space="preserve">Santiago</t>
  </si>
  <si>
    <t xml:space="preserve">Santiago Pudahuel AP</t>
  </si>
  <si>
    <t xml:space="preserve">855740</t>
  </si>
  <si>
    <t xml:space="preserve">Queretaro</t>
  </si>
  <si>
    <t xml:space="preserve">766250</t>
  </si>
  <si>
    <t xml:space="preserve">Nairobi</t>
  </si>
  <si>
    <t xml:space="preserve">Nairobi Jomo Kenyatta Intl AP</t>
  </si>
  <si>
    <t xml:space="preserve">637400</t>
  </si>
  <si>
    <t xml:space="preserve">Johannesburg</t>
  </si>
  <si>
    <t xml:space="preserve">Johannesburg OR Tambo Intl AP</t>
  </si>
  <si>
    <t xml:space="preserve">683680</t>
  </si>
  <si>
    <t xml:space="preserve">Source: design-day (.ddy) and hourly (.epw) files of the TMYx 2011–2025 typical meteorological year set, climate.onebuilding.org, retrieved October 22, 2026. The design-day values are the 2025 ASHRAE Handbook—Fundamentals, Chapter 14, annual cooling design conditions distributed with those files. Hours are counts of hourly dry-bulb readings above each threshold in the 8,760-hour typical year; a typical year understates extreme years.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</si>
</sst>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0.00"/>
    <numFmt numFmtId="166" formatCode="0.0%"/>
    <numFmt numFmtId="167" formatCode="#,##0.00"/>
    <numFmt numFmtId="168" formatCode="0.000"/>
    <numFmt numFmtId="169" formatCode="0.000000"/>
    <numFmt numFmtId="170" formatCode="0.0000"/>
    <numFmt numFmtId="171" formatCode="0%"/>
    <numFmt numFmtId="172" formatCode="0"/>
    <numFmt numFmtId="173" formatCode="#,##0"/>
    <numFmt numFmtId="174" formatCode="\$#,##0"/>
    <numFmt numFmtId="175" formatCode="\$#,##0.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sz val="11"/>
      <color theme="1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8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0"/>
  </cols>
  <sheetData>
    <row r="1" customFormat="false" ht="17.35" hidden="false" customHeight="false" outlineLevel="0" collapsed="false">
      <c r="A1" s="1" t="s">
        <v>0</v>
      </c>
    </row>
    <row r="2" customFormat="false" ht="35.05" hidden="false" customHeight="false" outlineLevel="0" collapsed="false">
      <c r="A2" s="2" t="s">
        <v>1</v>
      </c>
    </row>
    <row r="3" customFormat="false" ht="23.85" hidden="false" customHeight="false" outlineLevel="0" collapsed="false">
      <c r="A3" s="2" t="s">
        <v>2</v>
      </c>
    </row>
    <row r="4" customFormat="false" ht="35.05" hidden="false" customHeight="false" outlineLevel="0" collapsed="false">
      <c r="A4" s="2" t="s">
        <v>3</v>
      </c>
    </row>
    <row r="5" customFormat="false" ht="23.85" hidden="false" customHeight="false" outlineLevel="0" collapsed="false">
      <c r="A5" s="2" t="s">
        <v>4</v>
      </c>
    </row>
    <row r="6" customFormat="false" ht="35.05" hidden="false" customHeight="false" outlineLevel="0" collapsed="false">
      <c r="A6" s="2" t="s">
        <v>5</v>
      </c>
    </row>
    <row r="7" customFormat="false" ht="35.05" hidden="false" customHeight="false" outlineLevel="0" collapsed="false">
      <c r="A7" s="2" t="s">
        <v>6</v>
      </c>
    </row>
    <row r="8" customFormat="false" ht="46.25" hidden="false" customHeight="false" outlineLevel="0" collapsed="false">
      <c r="A8" s="2" t="s">
        <v>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16"/>
    <col collapsed="false" customWidth="true" hidden="false" outlineLevel="0" max="3" min="3" style="0" width="14"/>
    <col collapsed="false" customWidth="true" hidden="false" outlineLevel="0" max="4" min="4" style="0" width="70"/>
  </cols>
  <sheetData>
    <row r="1" customFormat="false" ht="15" hidden="false" customHeight="false" outlineLevel="0" collapsed="false">
      <c r="A1" s="3" t="s">
        <v>8</v>
      </c>
      <c r="B1" s="3" t="s">
        <v>9</v>
      </c>
      <c r="C1" s="3" t="s">
        <v>10</v>
      </c>
      <c r="D1" s="3" t="s">
        <v>11</v>
      </c>
    </row>
    <row r="2" customFormat="false" ht="15" hidden="false" customHeight="false" outlineLevel="0" collapsed="false">
      <c r="A2" s="4"/>
      <c r="B2" s="4"/>
      <c r="C2" s="4"/>
      <c r="D2" s="4"/>
    </row>
    <row r="3" customFormat="false" ht="15" hidden="false" customHeight="false" outlineLevel="0" collapsed="false">
      <c r="A3" s="5" t="s">
        <v>12</v>
      </c>
      <c r="B3" s="4"/>
      <c r="C3" s="4"/>
      <c r="D3" s="4"/>
    </row>
    <row r="4" customFormat="false" ht="15" hidden="false" customHeight="false" outlineLevel="0" collapsed="false">
      <c r="A4" s="6" t="s">
        <v>13</v>
      </c>
      <c r="B4" s="7" t="n">
        <v>200</v>
      </c>
      <c r="C4" s="6" t="s">
        <v>14</v>
      </c>
      <c r="D4" s="2" t="s">
        <v>15</v>
      </c>
    </row>
    <row r="5" customFormat="false" ht="15" hidden="false" customHeight="false" outlineLevel="0" collapsed="false">
      <c r="A5" s="6" t="s">
        <v>16</v>
      </c>
      <c r="B5" s="8" t="n">
        <v>1.15</v>
      </c>
      <c r="C5" s="6" t="s">
        <v>17</v>
      </c>
      <c r="D5" s="2" t="s">
        <v>18</v>
      </c>
    </row>
    <row r="6" customFormat="false" ht="15" hidden="false" customHeight="false" outlineLevel="0" collapsed="false">
      <c r="A6" s="6" t="s">
        <v>19</v>
      </c>
      <c r="B6" s="7" t="n">
        <v>240</v>
      </c>
      <c r="C6" s="6" t="s">
        <v>14</v>
      </c>
      <c r="D6" s="2" t="s">
        <v>20</v>
      </c>
    </row>
    <row r="7" customFormat="false" ht="15" hidden="false" customHeight="false" outlineLevel="0" collapsed="false">
      <c r="A7" s="6" t="s">
        <v>21</v>
      </c>
      <c r="B7" s="9" t="n">
        <v>0.1</v>
      </c>
      <c r="C7" s="6" t="s">
        <v>22</v>
      </c>
      <c r="D7" s="2" t="s">
        <v>23</v>
      </c>
    </row>
    <row r="8" customFormat="false" ht="15" hidden="false" customHeight="false" outlineLevel="0" collapsed="false">
      <c r="A8" s="6" t="s">
        <v>24</v>
      </c>
      <c r="B8" s="10" t="n">
        <v>8760</v>
      </c>
      <c r="C8" s="6" t="s">
        <v>25</v>
      </c>
      <c r="D8" s="2"/>
    </row>
    <row r="9" customFormat="false" ht="15" hidden="false" customHeight="false" outlineLevel="0" collapsed="false">
      <c r="A9" s="4"/>
      <c r="B9" s="4"/>
      <c r="C9" s="4"/>
      <c r="D9" s="4"/>
    </row>
    <row r="10" customFormat="false" ht="15" hidden="false" customHeight="false" outlineLevel="0" collapsed="false">
      <c r="A10" s="5" t="s">
        <v>26</v>
      </c>
      <c r="B10" s="4"/>
      <c r="C10" s="4"/>
      <c r="D10" s="4"/>
    </row>
    <row r="11" customFormat="false" ht="15" hidden="false" customHeight="false" outlineLevel="0" collapsed="false">
      <c r="A11" s="6" t="s">
        <v>27</v>
      </c>
      <c r="B11" s="10" t="n">
        <v>210</v>
      </c>
      <c r="C11" s="6" t="s">
        <v>14</v>
      </c>
      <c r="D11" s="2" t="s">
        <v>28</v>
      </c>
    </row>
    <row r="12" customFormat="false" ht="15" hidden="false" customHeight="false" outlineLevel="0" collapsed="false">
      <c r="A12" s="6" t="s">
        <v>29</v>
      </c>
      <c r="B12" s="10" t="n">
        <v>450</v>
      </c>
      <c r="C12" s="6" t="s">
        <v>30</v>
      </c>
      <c r="D12" s="2" t="s">
        <v>31</v>
      </c>
    </row>
    <row r="13" customFormat="false" ht="15" hidden="false" customHeight="false" outlineLevel="0" collapsed="false">
      <c r="A13" s="6" t="s">
        <v>32</v>
      </c>
      <c r="B13" s="10" t="n">
        <v>5</v>
      </c>
      <c r="C13" s="6" t="s">
        <v>33</v>
      </c>
      <c r="D13" s="2" t="s">
        <v>34</v>
      </c>
    </row>
    <row r="14" customFormat="false" ht="15" hidden="false" customHeight="false" outlineLevel="0" collapsed="false">
      <c r="A14" s="6" t="s">
        <v>35</v>
      </c>
      <c r="B14" s="10" t="n">
        <v>15000000</v>
      </c>
      <c r="C14" s="6" t="s">
        <v>36</v>
      </c>
      <c r="D14" s="2" t="s">
        <v>37</v>
      </c>
    </row>
    <row r="15" customFormat="false" ht="15" hidden="false" customHeight="false" outlineLevel="0" collapsed="false">
      <c r="A15" s="6" t="s">
        <v>38</v>
      </c>
      <c r="B15" s="10" t="n">
        <v>40000</v>
      </c>
      <c r="C15" s="6" t="s">
        <v>39</v>
      </c>
      <c r="D15" s="2" t="s">
        <v>40</v>
      </c>
    </row>
    <row r="16" customFormat="false" ht="15" hidden="false" customHeight="false" outlineLevel="0" collapsed="false">
      <c r="A16" s="4"/>
      <c r="B16" s="4"/>
      <c r="C16" s="4"/>
      <c r="D16" s="4"/>
    </row>
    <row r="17" customFormat="false" ht="15" hidden="false" customHeight="false" outlineLevel="0" collapsed="false">
      <c r="A17" s="5" t="s">
        <v>41</v>
      </c>
      <c r="B17" s="4"/>
      <c r="C17" s="4"/>
      <c r="D17" s="4"/>
    </row>
    <row r="18" customFormat="false" ht="15" hidden="false" customHeight="false" outlineLevel="0" collapsed="false">
      <c r="A18" s="6" t="s">
        <v>42</v>
      </c>
      <c r="B18" s="10" t="n">
        <v>264</v>
      </c>
      <c r="C18" s="6" t="s">
        <v>14</v>
      </c>
      <c r="D18" s="2" t="s">
        <v>43</v>
      </c>
    </row>
    <row r="19" customFormat="false" ht="15" hidden="false" customHeight="false" outlineLevel="0" collapsed="false">
      <c r="A19" s="6" t="s">
        <v>44</v>
      </c>
      <c r="B19" s="7" t="n">
        <v>800</v>
      </c>
      <c r="C19" s="6" t="s">
        <v>30</v>
      </c>
      <c r="D19" s="2" t="s">
        <v>45</v>
      </c>
    </row>
    <row r="20" customFormat="false" ht="15" hidden="false" customHeight="false" outlineLevel="0" collapsed="false">
      <c r="A20" s="6" t="s">
        <v>46</v>
      </c>
      <c r="B20" s="10" t="n">
        <v>8</v>
      </c>
      <c r="C20" s="6" t="s">
        <v>33</v>
      </c>
      <c r="D20" s="2" t="s">
        <v>34</v>
      </c>
    </row>
    <row r="21" customFormat="false" ht="15" hidden="false" customHeight="false" outlineLevel="0" collapsed="false">
      <c r="A21" s="6" t="s">
        <v>47</v>
      </c>
      <c r="B21" s="10" t="n">
        <v>60</v>
      </c>
      <c r="C21" s="6" t="s">
        <v>48</v>
      </c>
      <c r="D21" s="2" t="s">
        <v>49</v>
      </c>
    </row>
    <row r="22" customFormat="false" ht="15" hidden="false" customHeight="false" outlineLevel="0" collapsed="false">
      <c r="A22" s="6" t="s">
        <v>50</v>
      </c>
      <c r="B22" s="10" t="n">
        <v>200</v>
      </c>
      <c r="C22" s="6" t="s">
        <v>51</v>
      </c>
      <c r="D22" s="2" t="s">
        <v>52</v>
      </c>
    </row>
    <row r="23" customFormat="false" ht="15" hidden="false" customHeight="false" outlineLevel="0" collapsed="false">
      <c r="A23" s="4"/>
      <c r="B23" s="4"/>
      <c r="C23" s="4"/>
      <c r="D23" s="4"/>
    </row>
    <row r="24" customFormat="false" ht="15" hidden="false" customHeight="false" outlineLevel="0" collapsed="false">
      <c r="A24" s="5" t="s">
        <v>53</v>
      </c>
      <c r="B24" s="4"/>
      <c r="C24" s="4"/>
      <c r="D24" s="4"/>
    </row>
    <row r="25" customFormat="false" ht="15" hidden="false" customHeight="false" outlineLevel="0" collapsed="false">
      <c r="A25" s="6" t="s">
        <v>54</v>
      </c>
      <c r="B25" s="10" t="n">
        <v>320</v>
      </c>
      <c r="C25" s="6" t="s">
        <v>14</v>
      </c>
      <c r="D25" s="2" t="s">
        <v>20</v>
      </c>
    </row>
    <row r="26" customFormat="false" ht="15" hidden="false" customHeight="false" outlineLevel="0" collapsed="false">
      <c r="A26" s="6" t="s">
        <v>55</v>
      </c>
      <c r="B26" s="7" t="n">
        <v>2000</v>
      </c>
      <c r="C26" s="6" t="s">
        <v>30</v>
      </c>
      <c r="D26" s="2" t="s">
        <v>56</v>
      </c>
    </row>
    <row r="27" customFormat="false" ht="15" hidden="false" customHeight="false" outlineLevel="0" collapsed="false">
      <c r="A27" s="6" t="s">
        <v>57</v>
      </c>
      <c r="B27" s="10" t="n">
        <v>15</v>
      </c>
      <c r="C27" s="6" t="s">
        <v>33</v>
      </c>
      <c r="D27" s="2" t="s">
        <v>34</v>
      </c>
    </row>
    <row r="28" customFormat="false" ht="15" hidden="false" customHeight="false" outlineLevel="0" collapsed="false">
      <c r="A28" s="6" t="s">
        <v>58</v>
      </c>
      <c r="B28" s="10" t="n">
        <v>8.5</v>
      </c>
      <c r="C28" s="6" t="s">
        <v>59</v>
      </c>
      <c r="D28" s="2" t="s">
        <v>60</v>
      </c>
    </row>
    <row r="29" customFormat="false" ht="15" hidden="false" customHeight="false" outlineLevel="0" collapsed="false">
      <c r="A29" s="6" t="s">
        <v>61</v>
      </c>
      <c r="B29" s="10" t="n">
        <v>100</v>
      </c>
      <c r="C29" s="6" t="s">
        <v>48</v>
      </c>
      <c r="D29" s="2" t="s">
        <v>62</v>
      </c>
    </row>
    <row r="30" customFormat="false" ht="15" hidden="false" customHeight="false" outlineLevel="0" collapsed="false">
      <c r="A30" s="6" t="s">
        <v>63</v>
      </c>
      <c r="B30" s="10" t="n">
        <v>15</v>
      </c>
      <c r="C30" s="6" t="s">
        <v>51</v>
      </c>
      <c r="D30" s="2" t="s">
        <v>34</v>
      </c>
    </row>
    <row r="31" customFormat="false" ht="15" hidden="false" customHeight="false" outlineLevel="0" collapsed="false">
      <c r="A31" s="6" t="s">
        <v>64</v>
      </c>
      <c r="B31" s="10" t="n">
        <v>25000000</v>
      </c>
      <c r="C31" s="6" t="s">
        <v>36</v>
      </c>
      <c r="D31" s="2" t="s">
        <v>65</v>
      </c>
    </row>
    <row r="32" customFormat="false" ht="15" hidden="false" customHeight="false" outlineLevel="0" collapsed="false">
      <c r="A32" s="6" t="s">
        <v>66</v>
      </c>
      <c r="B32" s="8" t="n">
        <v>0.4</v>
      </c>
      <c r="C32" s="6" t="s">
        <v>67</v>
      </c>
      <c r="D32" s="2" t="s">
        <v>68</v>
      </c>
    </row>
    <row r="33" customFormat="false" ht="15" hidden="false" customHeight="false" outlineLevel="0" collapsed="false">
      <c r="A33" s="6" t="s">
        <v>69</v>
      </c>
      <c r="B33" s="10" t="n">
        <v>120</v>
      </c>
      <c r="C33" s="6" t="s">
        <v>14</v>
      </c>
      <c r="D33" s="2" t="s">
        <v>20</v>
      </c>
    </row>
    <row r="34" customFormat="false" ht="15" hidden="false" customHeight="false" outlineLevel="0" collapsed="false">
      <c r="A34" s="6" t="s">
        <v>70</v>
      </c>
      <c r="B34" s="10" t="n">
        <v>240</v>
      </c>
      <c r="C34" s="6" t="s">
        <v>71</v>
      </c>
      <c r="D34" s="2" t="s">
        <v>20</v>
      </c>
    </row>
    <row r="35" customFormat="false" ht="15" hidden="false" customHeight="false" outlineLevel="0" collapsed="false">
      <c r="A35" s="6" t="s">
        <v>72</v>
      </c>
      <c r="B35" s="7" t="n">
        <v>400</v>
      </c>
      <c r="C35" s="6" t="s">
        <v>73</v>
      </c>
      <c r="D35" s="2" t="s">
        <v>74</v>
      </c>
    </row>
    <row r="36" customFormat="false" ht="15" hidden="false" customHeight="false" outlineLevel="0" collapsed="false">
      <c r="A36" s="6" t="s">
        <v>75</v>
      </c>
      <c r="B36" s="10" t="n">
        <v>10</v>
      </c>
      <c r="C36" s="6" t="s">
        <v>33</v>
      </c>
      <c r="D36" s="2" t="s">
        <v>34</v>
      </c>
    </row>
    <row r="37" customFormat="false" ht="15" hidden="false" customHeight="false" outlineLevel="0" collapsed="false">
      <c r="A37" s="6" t="s">
        <v>76</v>
      </c>
      <c r="B37" s="11" t="n">
        <v>0.015</v>
      </c>
      <c r="C37" s="6" t="s">
        <v>77</v>
      </c>
      <c r="D37" s="2" t="s">
        <v>34</v>
      </c>
    </row>
    <row r="38" customFormat="false" ht="23.85" hidden="false" customHeight="false" outlineLevel="0" collapsed="false">
      <c r="A38" s="6" t="s">
        <v>78</v>
      </c>
      <c r="B38" s="10" t="n">
        <v>250</v>
      </c>
      <c r="C38" s="6" t="s">
        <v>79</v>
      </c>
      <c r="D38" s="2" t="s">
        <v>80</v>
      </c>
    </row>
    <row r="39" customFormat="false" ht="15" hidden="false" customHeight="false" outlineLevel="0" collapsed="false">
      <c r="A39" s="6" t="s">
        <v>81</v>
      </c>
      <c r="B39" s="12" t="n">
        <v>0.88</v>
      </c>
      <c r="C39" s="6" t="s">
        <v>17</v>
      </c>
      <c r="D39" s="2" t="s">
        <v>34</v>
      </c>
    </row>
    <row r="40" customFormat="false" ht="15" hidden="false" customHeight="false" outlineLevel="0" collapsed="false">
      <c r="A40" s="6" t="s">
        <v>82</v>
      </c>
      <c r="B40" s="7" t="n">
        <v>100</v>
      </c>
      <c r="C40" s="6" t="s">
        <v>14</v>
      </c>
      <c r="D40" s="2" t="s">
        <v>83</v>
      </c>
    </row>
    <row r="41" customFormat="false" ht="15" hidden="false" customHeight="false" outlineLevel="0" collapsed="false">
      <c r="A41" s="4"/>
      <c r="B41" s="4"/>
      <c r="C41" s="4"/>
      <c r="D41" s="4"/>
    </row>
    <row r="42" customFormat="false" ht="15" hidden="false" customHeight="false" outlineLevel="0" collapsed="false">
      <c r="A42" s="5" t="s">
        <v>84</v>
      </c>
      <c r="B42" s="4"/>
      <c r="C42" s="4"/>
      <c r="D42" s="4"/>
    </row>
    <row r="43" customFormat="false" ht="15" hidden="false" customHeight="false" outlineLevel="0" collapsed="false">
      <c r="A43" s="6" t="s">
        <v>85</v>
      </c>
      <c r="B43" s="10" t="n">
        <v>360</v>
      </c>
      <c r="C43" s="6" t="s">
        <v>14</v>
      </c>
      <c r="D43" s="2" t="s">
        <v>86</v>
      </c>
    </row>
    <row r="44" customFormat="false" ht="15" hidden="false" customHeight="false" outlineLevel="0" collapsed="false">
      <c r="A44" s="6" t="s">
        <v>58</v>
      </c>
      <c r="B44" s="10" t="n">
        <v>8.5</v>
      </c>
      <c r="C44" s="6" t="s">
        <v>59</v>
      </c>
      <c r="D44" s="2" t="s">
        <v>87</v>
      </c>
    </row>
    <row r="45" customFormat="false" ht="15" hidden="false" customHeight="false" outlineLevel="0" collapsed="false">
      <c r="A45" s="6" t="s">
        <v>63</v>
      </c>
      <c r="B45" s="10" t="n">
        <v>15</v>
      </c>
      <c r="C45" s="6" t="s">
        <v>51</v>
      </c>
      <c r="D45" s="2" t="s">
        <v>87</v>
      </c>
    </row>
    <row r="46" customFormat="false" ht="15" hidden="false" customHeight="false" outlineLevel="0" collapsed="false">
      <c r="A46" s="4"/>
      <c r="B46" s="4"/>
      <c r="C46" s="4"/>
      <c r="D46" s="4"/>
    </row>
    <row r="47" customFormat="false" ht="15" hidden="false" customHeight="false" outlineLevel="0" collapsed="false">
      <c r="A47" s="5" t="s">
        <v>88</v>
      </c>
      <c r="B47" s="4"/>
      <c r="C47" s="4"/>
      <c r="D47" s="4"/>
    </row>
    <row r="48" customFormat="false" ht="15" hidden="false" customHeight="false" outlineLevel="0" collapsed="false">
      <c r="A48" s="6" t="s">
        <v>89</v>
      </c>
      <c r="B48" s="8" t="n">
        <v>4.5</v>
      </c>
      <c r="C48" s="6" t="s">
        <v>90</v>
      </c>
      <c r="D48" s="2" t="s">
        <v>91</v>
      </c>
    </row>
    <row r="49" customFormat="false" ht="15" hidden="false" customHeight="false" outlineLevel="0" collapsed="false">
      <c r="A49" s="6" t="s">
        <v>92</v>
      </c>
      <c r="B49" s="8" t="n">
        <v>8</v>
      </c>
      <c r="C49" s="6" t="s">
        <v>90</v>
      </c>
      <c r="D49" s="2" t="s">
        <v>93</v>
      </c>
    </row>
    <row r="50" customFormat="false" ht="23.85" hidden="false" customHeight="false" outlineLevel="0" collapsed="false">
      <c r="A50" s="6" t="s">
        <v>94</v>
      </c>
      <c r="B50" s="8" t="n">
        <v>1.5</v>
      </c>
      <c r="C50" s="6" t="s">
        <v>17</v>
      </c>
      <c r="D50" s="2" t="s">
        <v>95</v>
      </c>
    </row>
    <row r="51" customFormat="false" ht="15" hidden="false" customHeight="false" outlineLevel="0" collapsed="false">
      <c r="A51" s="6" t="s">
        <v>96</v>
      </c>
      <c r="B51" s="12" t="n">
        <v>542.83</v>
      </c>
      <c r="C51" s="6" t="s">
        <v>97</v>
      </c>
      <c r="D51" s="2" t="s">
        <v>98</v>
      </c>
    </row>
    <row r="52" customFormat="false" ht="15" hidden="false" customHeight="false" outlineLevel="0" collapsed="false">
      <c r="A52" s="6" t="s">
        <v>99</v>
      </c>
      <c r="B52" s="12" t="n">
        <v>333.44</v>
      </c>
      <c r="C52" s="6" t="s">
        <v>97</v>
      </c>
      <c r="D52" s="2" t="s">
        <v>100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3" min="2" style="0" width="16"/>
    <col collapsed="false" customWidth="true" hidden="false" outlineLevel="0" max="4" min="4" style="0" width="80"/>
  </cols>
  <sheetData>
    <row r="1" customFormat="false" ht="15" hidden="false" customHeight="false" outlineLevel="0" collapsed="false">
      <c r="A1" s="3" t="s">
        <v>101</v>
      </c>
      <c r="B1" s="3" t="s">
        <v>102</v>
      </c>
      <c r="C1" s="3" t="s">
        <v>10</v>
      </c>
      <c r="D1" s="3" t="s">
        <v>103</v>
      </c>
    </row>
    <row r="2" customFormat="false" ht="15" hidden="false" customHeight="false" outlineLevel="0" collapsed="false">
      <c r="A2" s="5" t="s">
        <v>104</v>
      </c>
      <c r="B2" s="4"/>
      <c r="C2" s="4"/>
      <c r="D2" s="4"/>
    </row>
    <row r="3" customFormat="false" ht="15" hidden="false" customHeight="false" outlineLevel="0" collapsed="false">
      <c r="A3" s="3" t="s">
        <v>105</v>
      </c>
      <c r="B3" s="3" t="s">
        <v>102</v>
      </c>
      <c r="C3" s="3" t="s">
        <v>10</v>
      </c>
      <c r="D3" s="3" t="s">
        <v>106</v>
      </c>
    </row>
    <row r="4" customFormat="false" ht="23.85" hidden="false" customHeight="false" outlineLevel="0" collapsed="false">
      <c r="A4" s="6" t="s">
        <v>107</v>
      </c>
      <c r="B4" s="13" t="n">
        <v>343.54</v>
      </c>
      <c r="C4" s="6" t="s">
        <v>108</v>
      </c>
      <c r="D4" s="2" t="s">
        <v>109</v>
      </c>
    </row>
    <row r="5" customFormat="false" ht="35.05" hidden="false" customHeight="false" outlineLevel="0" collapsed="false">
      <c r="A5" s="6" t="s">
        <v>110</v>
      </c>
      <c r="B5" s="14" t="n">
        <v>0</v>
      </c>
      <c r="C5" s="6" t="s">
        <v>111</v>
      </c>
      <c r="D5" s="2" t="s">
        <v>112</v>
      </c>
    </row>
    <row r="6" customFormat="false" ht="15" hidden="false" customHeight="false" outlineLevel="0" collapsed="false">
      <c r="A6" s="6" t="s">
        <v>113</v>
      </c>
      <c r="B6" s="14" t="n">
        <v>2.31</v>
      </c>
      <c r="C6" s="6" t="s">
        <v>111</v>
      </c>
      <c r="D6" s="2" t="s">
        <v>114</v>
      </c>
    </row>
    <row r="7" customFormat="false" ht="57.45" hidden="false" customHeight="false" outlineLevel="0" collapsed="false">
      <c r="A7" s="6" t="s">
        <v>115</v>
      </c>
      <c r="B7" s="14" t="n">
        <v>9.28</v>
      </c>
      <c r="C7" s="6" t="s">
        <v>111</v>
      </c>
      <c r="D7" s="2" t="s">
        <v>116</v>
      </c>
    </row>
    <row r="8" customFormat="false" ht="23.85" hidden="false" customHeight="false" outlineLevel="0" collapsed="false">
      <c r="A8" s="6" t="s">
        <v>117</v>
      </c>
      <c r="B8" s="14" t="n">
        <v>0.558</v>
      </c>
      <c r="C8" s="6" t="s">
        <v>111</v>
      </c>
      <c r="D8" s="2" t="s">
        <v>118</v>
      </c>
    </row>
    <row r="9" customFormat="false" ht="35.05" hidden="false" customHeight="false" outlineLevel="0" collapsed="false">
      <c r="A9" s="6" t="s">
        <v>119</v>
      </c>
      <c r="B9" s="14" t="n">
        <v>4.673</v>
      </c>
      <c r="C9" s="6" t="s">
        <v>111</v>
      </c>
      <c r="D9" s="2" t="s">
        <v>120</v>
      </c>
    </row>
    <row r="10" customFormat="false" ht="35.05" hidden="false" customHeight="false" outlineLevel="0" collapsed="false">
      <c r="A10" s="6" t="s">
        <v>121</v>
      </c>
      <c r="B10" s="14" t="n">
        <v>0.145</v>
      </c>
      <c r="C10" s="6" t="s">
        <v>111</v>
      </c>
      <c r="D10" s="2" t="s">
        <v>122</v>
      </c>
    </row>
    <row r="11" customFormat="false" ht="15" hidden="false" customHeight="false" outlineLevel="0" collapsed="false">
      <c r="A11" s="6" t="s">
        <v>123</v>
      </c>
      <c r="B11" s="14" t="n">
        <v>0.967</v>
      </c>
      <c r="C11" s="6" t="s">
        <v>111</v>
      </c>
      <c r="D11" s="2" t="s">
        <v>124</v>
      </c>
    </row>
    <row r="12" customFormat="false" ht="15" hidden="false" customHeight="false" outlineLevel="0" collapsed="false">
      <c r="A12" s="6" t="s">
        <v>125</v>
      </c>
      <c r="B12" s="14" t="n">
        <v>0.886</v>
      </c>
      <c r="C12" s="6" t="s">
        <v>111</v>
      </c>
      <c r="D12" s="2" t="s">
        <v>126</v>
      </c>
    </row>
    <row r="13" customFormat="false" ht="46.25" hidden="false" customHeight="false" outlineLevel="0" collapsed="false">
      <c r="A13" s="6" t="s">
        <v>127</v>
      </c>
      <c r="B13" s="14" t="n">
        <v>0.158</v>
      </c>
      <c r="C13" s="6" t="s">
        <v>111</v>
      </c>
      <c r="D13" s="2" t="s">
        <v>128</v>
      </c>
    </row>
    <row r="14" customFormat="false" ht="15" hidden="false" customHeight="false" outlineLevel="0" collapsed="false">
      <c r="A14" s="6" t="s">
        <v>129</v>
      </c>
      <c r="B14" s="14" t="n">
        <v>0.04</v>
      </c>
      <c r="C14" s="6" t="s">
        <v>111</v>
      </c>
      <c r="D14" s="2" t="s">
        <v>130</v>
      </c>
    </row>
    <row r="15" customFormat="false" ht="46.25" hidden="false" customHeight="false" outlineLevel="0" collapsed="false">
      <c r="A15" s="6" t="s">
        <v>131</v>
      </c>
      <c r="B15" s="14" t="n">
        <v>0.499</v>
      </c>
      <c r="C15" s="6" t="s">
        <v>111</v>
      </c>
      <c r="D15" s="2" t="s">
        <v>132</v>
      </c>
    </row>
    <row r="16" customFormat="false" ht="15" hidden="false" customHeight="false" outlineLevel="0" collapsed="false">
      <c r="A16" s="6" t="s">
        <v>133</v>
      </c>
      <c r="B16" s="14" t="n">
        <v>2.396</v>
      </c>
      <c r="C16" s="6" t="s">
        <v>111</v>
      </c>
      <c r="D16" s="2" t="s">
        <v>134</v>
      </c>
    </row>
    <row r="17" customFormat="false" ht="23.85" hidden="false" customHeight="false" outlineLevel="0" collapsed="false">
      <c r="A17" s="6" t="s">
        <v>135</v>
      </c>
      <c r="B17" s="14" t="n">
        <v>0</v>
      </c>
      <c r="C17" s="6" t="s">
        <v>111</v>
      </c>
      <c r="D17" s="2" t="s">
        <v>136</v>
      </c>
    </row>
    <row r="18" customFormat="false" ht="46.25" hidden="false" customHeight="false" outlineLevel="0" collapsed="false">
      <c r="A18" s="6" t="s">
        <v>137</v>
      </c>
      <c r="B18" s="15" t="n">
        <v>0.00386</v>
      </c>
      <c r="C18" s="6" t="s">
        <v>73</v>
      </c>
      <c r="D18" s="2" t="s">
        <v>138</v>
      </c>
    </row>
    <row r="19" customFormat="false" ht="15" hidden="false" customHeight="false" outlineLevel="0" collapsed="false">
      <c r="A19" s="6" t="s">
        <v>139</v>
      </c>
      <c r="B19" s="15" t="n">
        <v>0.000157</v>
      </c>
      <c r="C19" s="6" t="s">
        <v>73</v>
      </c>
      <c r="D19" s="2" t="s">
        <v>140</v>
      </c>
    </row>
    <row r="20" customFormat="false" ht="35.05" hidden="false" customHeight="false" outlineLevel="0" collapsed="false">
      <c r="A20" s="6" t="s">
        <v>141</v>
      </c>
      <c r="B20" s="15" t="n">
        <v>0.037648</v>
      </c>
      <c r="C20" s="6" t="s">
        <v>73</v>
      </c>
      <c r="D20" s="2" t="s">
        <v>142</v>
      </c>
    </row>
    <row r="21" customFormat="false" ht="15" hidden="false" customHeight="false" outlineLevel="0" collapsed="false">
      <c r="A21" s="6" t="s">
        <v>143</v>
      </c>
      <c r="B21" s="15" t="n">
        <v>0.001765</v>
      </c>
      <c r="C21" s="6" t="s">
        <v>73</v>
      </c>
      <c r="D21" s="2" t="s">
        <v>144</v>
      </c>
    </row>
    <row r="22" customFormat="false" ht="35.05" hidden="false" customHeight="false" outlineLevel="0" collapsed="false">
      <c r="A22" s="6" t="s">
        <v>145</v>
      </c>
      <c r="B22" s="15" t="n">
        <v>0.00552</v>
      </c>
      <c r="C22" s="6" t="s">
        <v>73</v>
      </c>
      <c r="D22" s="2" t="s">
        <v>146</v>
      </c>
    </row>
    <row r="23" customFormat="false" ht="15" hidden="false" customHeight="false" outlineLevel="0" collapsed="false">
      <c r="A23" s="6" t="s">
        <v>147</v>
      </c>
      <c r="B23" s="15" t="n">
        <v>0.000212</v>
      </c>
      <c r="C23" s="6" t="s">
        <v>73</v>
      </c>
      <c r="D23" s="2" t="s">
        <v>148</v>
      </c>
    </row>
    <row r="24" customFormat="false" ht="15" hidden="false" customHeight="false" outlineLevel="0" collapsed="false">
      <c r="A24" s="6" t="s">
        <v>149</v>
      </c>
      <c r="B24" s="15" t="n">
        <v>0.000698</v>
      </c>
      <c r="C24" s="6" t="s">
        <v>73</v>
      </c>
      <c r="D24" s="2" t="s">
        <v>150</v>
      </c>
    </row>
    <row r="25" customFormat="false" ht="15" hidden="false" customHeight="false" outlineLevel="0" collapsed="false">
      <c r="A25" s="6" t="s">
        <v>151</v>
      </c>
      <c r="B25" s="15" t="n">
        <v>0</v>
      </c>
      <c r="C25" s="6" t="s">
        <v>73</v>
      </c>
      <c r="D25" s="2" t="s">
        <v>152</v>
      </c>
    </row>
    <row r="26" customFormat="false" ht="35.05" hidden="false" customHeight="false" outlineLevel="0" collapsed="false">
      <c r="A26" s="6" t="s">
        <v>153</v>
      </c>
      <c r="B26" s="15" t="n">
        <v>0.002901</v>
      </c>
      <c r="C26" s="6" t="s">
        <v>73</v>
      </c>
      <c r="D26" s="2" t="s">
        <v>154</v>
      </c>
    </row>
    <row r="27" customFormat="false" ht="15" hidden="false" customHeight="false" outlineLevel="0" collapsed="false">
      <c r="A27" s="4"/>
      <c r="B27" s="4"/>
      <c r="C27" s="4"/>
      <c r="D27" s="4"/>
    </row>
    <row r="28" customFormat="false" ht="15" hidden="false" customHeight="false" outlineLevel="0" collapsed="false">
      <c r="A28" s="5" t="s">
        <v>155</v>
      </c>
      <c r="B28" s="4"/>
      <c r="C28" s="4"/>
      <c r="D28" s="4"/>
    </row>
    <row r="29" customFormat="false" ht="15" hidden="false" customHeight="false" outlineLevel="0" collapsed="false">
      <c r="A29" s="6" t="s">
        <v>156</v>
      </c>
      <c r="B29" s="16" t="n">
        <f aca="false">$B$4</f>
        <v>343.54</v>
      </c>
      <c r="C29" s="6" t="s">
        <v>108</v>
      </c>
      <c r="D29" s="4"/>
    </row>
    <row r="30" customFormat="false" ht="15" hidden="false" customHeight="false" outlineLevel="0" collapsed="false">
      <c r="A30" s="6" t="s">
        <v>157</v>
      </c>
      <c r="B30" s="17" t="n">
        <f aca="false">$B$5</f>
        <v>0</v>
      </c>
      <c r="C30" s="6" t="s">
        <v>111</v>
      </c>
      <c r="D30" s="4"/>
    </row>
    <row r="31" customFormat="false" ht="15" hidden="false" customHeight="false" outlineLevel="0" collapsed="false">
      <c r="A31" s="6" t="s">
        <v>158</v>
      </c>
      <c r="B31" s="17" t="n">
        <f aca="false">$B$6</f>
        <v>2.31</v>
      </c>
      <c r="C31" s="6" t="s">
        <v>111</v>
      </c>
      <c r="D31" s="4"/>
    </row>
    <row r="32" customFormat="false" ht="15" hidden="false" customHeight="false" outlineLevel="0" collapsed="false">
      <c r="A32" s="6" t="s">
        <v>159</v>
      </c>
      <c r="B32" s="17" t="n">
        <f aca="false">$B$7</f>
        <v>9.28</v>
      </c>
      <c r="C32" s="6" t="s">
        <v>111</v>
      </c>
      <c r="D32" s="4"/>
    </row>
    <row r="33" customFormat="false" ht="15" hidden="false" customHeight="false" outlineLevel="0" collapsed="false">
      <c r="A33" s="6" t="s">
        <v>160</v>
      </c>
      <c r="B33" s="17" t="n">
        <f aca="false">$B$8</f>
        <v>0.558</v>
      </c>
      <c r="C33" s="6" t="s">
        <v>111</v>
      </c>
      <c r="D33" s="4"/>
    </row>
    <row r="34" customFormat="false" ht="15" hidden="false" customHeight="false" outlineLevel="0" collapsed="false">
      <c r="A34" s="6" t="s">
        <v>161</v>
      </c>
      <c r="B34" s="17" t="n">
        <f aca="false">$B$9</f>
        <v>4.673</v>
      </c>
      <c r="C34" s="6" t="s">
        <v>111</v>
      </c>
      <c r="D34" s="4"/>
    </row>
    <row r="35" customFormat="false" ht="15" hidden="false" customHeight="false" outlineLevel="0" collapsed="false">
      <c r="A35" s="6" t="s">
        <v>162</v>
      </c>
      <c r="B35" s="17" t="n">
        <f aca="false">$B$10+$B$11+$B$12+$B$13+$B$14+$B$15+$B$16+$B$17</f>
        <v>5.091</v>
      </c>
      <c r="C35" s="6" t="s">
        <v>111</v>
      </c>
      <c r="D35" s="4"/>
    </row>
    <row r="36" customFormat="false" ht="15" hidden="false" customHeight="false" outlineLevel="0" collapsed="false">
      <c r="A36" s="6" t="s">
        <v>163</v>
      </c>
      <c r="B36" s="18" t="n">
        <f aca="false">$B$18+$B$19</f>
        <v>0.004017</v>
      </c>
      <c r="C36" s="6" t="s">
        <v>73</v>
      </c>
      <c r="D36" s="4"/>
    </row>
    <row r="37" customFormat="false" ht="15" hidden="false" customHeight="false" outlineLevel="0" collapsed="false">
      <c r="A37" s="6" t="s">
        <v>164</v>
      </c>
      <c r="B37" s="18" t="n">
        <f aca="false">$B$20</f>
        <v>0.037648</v>
      </c>
      <c r="C37" s="6" t="s">
        <v>73</v>
      </c>
      <c r="D37" s="4"/>
    </row>
    <row r="38" customFormat="false" ht="15" hidden="false" customHeight="false" outlineLevel="0" collapsed="false">
      <c r="A38" s="6" t="s">
        <v>165</v>
      </c>
      <c r="B38" s="18" t="n">
        <f aca="false">$B$21+$B$22+$B$23+$B$24+$B$25+$B$26</f>
        <v>0.011096</v>
      </c>
      <c r="C38" s="6" t="s">
        <v>73</v>
      </c>
      <c r="D38" s="4"/>
    </row>
    <row r="39" customFormat="false" ht="15" hidden="false" customHeight="false" outlineLevel="0" collapsed="false">
      <c r="A39" s="6" t="s">
        <v>166</v>
      </c>
      <c r="B39" s="19" t="n">
        <v>0.9</v>
      </c>
      <c r="C39" s="6" t="s">
        <v>167</v>
      </c>
      <c r="D39" s="2" t="s">
        <v>168</v>
      </c>
    </row>
    <row r="40" customFormat="false" ht="23.85" hidden="false" customHeight="false" outlineLevel="0" collapsed="false">
      <c r="A40" s="6" t="s">
        <v>169</v>
      </c>
      <c r="B40" s="20" t="n">
        <v>365</v>
      </c>
      <c r="C40" s="6" t="s">
        <v>170</v>
      </c>
      <c r="D40" s="2" t="s">
        <v>171</v>
      </c>
    </row>
    <row r="41" customFormat="false" ht="23.85" hidden="false" customHeight="false" outlineLevel="0" collapsed="false">
      <c r="A41" s="6" t="s">
        <v>172</v>
      </c>
      <c r="B41" s="19" t="n">
        <v>0.85</v>
      </c>
      <c r="C41" s="6" t="s">
        <v>173</v>
      </c>
      <c r="D41" s="2" t="s">
        <v>174</v>
      </c>
    </row>
    <row r="42" customFormat="false" ht="15" hidden="false" customHeight="false" outlineLevel="0" collapsed="false">
      <c r="A42" s="6" t="s">
        <v>175</v>
      </c>
      <c r="B42" s="19" t="n">
        <v>0.6</v>
      </c>
      <c r="C42" s="6" t="s">
        <v>173</v>
      </c>
      <c r="D42" s="2" t="s">
        <v>176</v>
      </c>
    </row>
    <row r="43" customFormat="false" ht="35.05" hidden="false" customHeight="false" outlineLevel="0" collapsed="false">
      <c r="A43" s="6" t="s">
        <v>177</v>
      </c>
      <c r="B43" s="19" t="n">
        <v>1</v>
      </c>
      <c r="C43" s="6" t="s">
        <v>167</v>
      </c>
      <c r="D43" s="2" t="s">
        <v>178</v>
      </c>
    </row>
    <row r="44" customFormat="false" ht="15" hidden="false" customHeight="false" outlineLevel="0" collapsed="false">
      <c r="A44" s="4"/>
      <c r="B44" s="4"/>
      <c r="C44" s="4"/>
      <c r="D44" s="4"/>
    </row>
    <row r="45" customFormat="false" ht="15" hidden="false" customHeight="false" outlineLevel="0" collapsed="false">
      <c r="A45" s="5" t="s">
        <v>179</v>
      </c>
      <c r="B45" s="4"/>
      <c r="C45" s="4"/>
      <c r="D45" s="4"/>
    </row>
    <row r="46" customFormat="false" ht="15" hidden="false" customHeight="false" outlineLevel="0" collapsed="false">
      <c r="A46" s="4" t="s">
        <v>180</v>
      </c>
      <c r="B46" s="21" t="n">
        <f aca="false">Inputs!$B$4*Inputs!$B$5*Inputs!$B$8</f>
        <v>2014800</v>
      </c>
      <c r="C46" s="4"/>
      <c r="D46" s="4"/>
    </row>
    <row r="47" customFormat="false" ht="15" hidden="false" customHeight="false" outlineLevel="0" collapsed="false">
      <c r="A47" s="4" t="s">
        <v>181</v>
      </c>
      <c r="B47" s="22" t="n">
        <f aca="false">MAX(Inputs!$B$6,Tariff!$B$41*Inputs!$B$6)*1000</f>
        <v>240000</v>
      </c>
      <c r="C47" s="4"/>
      <c r="D47" s="4"/>
    </row>
    <row r="48" customFormat="false" ht="15" hidden="false" customHeight="false" outlineLevel="0" collapsed="false">
      <c r="A48" s="4" t="s">
        <v>182</v>
      </c>
      <c r="B48" s="22" t="n">
        <f aca="false">MAX(Inputs!$B$6,Tariff!$B$42*Inputs!$B$6)*1000</f>
        <v>240000</v>
      </c>
      <c r="C48" s="4"/>
      <c r="D48" s="4"/>
    </row>
    <row r="49" customFormat="false" ht="15" hidden="false" customHeight="false" outlineLevel="0" collapsed="false">
      <c r="A49" s="4" t="s">
        <v>183</v>
      </c>
      <c r="B49" s="22" t="n">
        <f aca="false">MAX(Inputs!$B$6-Inputs!$B$40,Tariff!$B$42*Inputs!$B$6)*1000</f>
        <v>144000</v>
      </c>
      <c r="C49" s="4"/>
      <c r="D49" s="4"/>
    </row>
    <row r="50" customFormat="false" ht="15" hidden="false" customHeight="false" outlineLevel="0" collapsed="false">
      <c r="A50" s="4" t="s">
        <v>184</v>
      </c>
      <c r="B50" s="22" t="n">
        <f aca="false">MAX(Inputs!$B$6*1000-Tariff!$B$39*Tariff!$B$48,0)</f>
        <v>24000</v>
      </c>
      <c r="C50" s="4"/>
      <c r="D50" s="4"/>
    </row>
    <row r="51" customFormat="false" ht="15" hidden="false" customHeight="false" outlineLevel="0" collapsed="false">
      <c r="A51" s="4" t="s">
        <v>185</v>
      </c>
      <c r="B51" s="22" t="n">
        <f aca="false">MAX(Inputs!$B$6*1000-Tariff!$B$39*Tariff!$B$49,0)</f>
        <v>110400</v>
      </c>
      <c r="C51" s="4"/>
      <c r="D51" s="4"/>
    </row>
    <row r="52" customFormat="false" ht="15" hidden="false" customHeight="false" outlineLevel="0" collapsed="false">
      <c r="A52" s="4" t="s">
        <v>186</v>
      </c>
      <c r="B52" s="23" t="n">
        <f aca="false">Tariff!$B$40/30</f>
        <v>12.1666666666667</v>
      </c>
      <c r="C52" s="4"/>
      <c r="D52" s="4"/>
    </row>
    <row r="53" customFormat="false" ht="15" hidden="false" customHeight="false" outlineLevel="0" collapsed="false">
      <c r="A53" s="4" t="s">
        <v>187</v>
      </c>
      <c r="B53" s="24" t="n">
        <f aca="false">Tariff!$B$29*Tariff!$B$52</f>
        <v>4179.73666666667</v>
      </c>
      <c r="C53" s="4"/>
      <c r="D53" s="4"/>
    </row>
    <row r="54" customFormat="false" ht="15" hidden="false" customHeight="false" outlineLevel="0" collapsed="false">
      <c r="A54" s="4" t="s">
        <v>188</v>
      </c>
      <c r="B54" s="24" t="n">
        <f aca="false">Tariff!$B$30*Tariff!$B$47*Tariff!$B$52</f>
        <v>0</v>
      </c>
      <c r="C54" s="4"/>
      <c r="D54" s="4"/>
    </row>
    <row r="55" customFormat="false" ht="15" hidden="false" customHeight="false" outlineLevel="0" collapsed="false">
      <c r="A55" s="4" t="s">
        <v>189</v>
      </c>
      <c r="B55" s="24" t="n">
        <f aca="false">Tariff!$B$31*Tariff!$B$47*Tariff!$B$52</f>
        <v>6745200</v>
      </c>
      <c r="C55" s="4"/>
      <c r="D55" s="4"/>
    </row>
    <row r="56" customFormat="false" ht="15" hidden="false" customHeight="false" outlineLevel="0" collapsed="false">
      <c r="A56" s="4" t="s">
        <v>190</v>
      </c>
      <c r="B56" s="24" t="n">
        <f aca="false">Tariff!$B$34*Tariff!$B$47*12</f>
        <v>13458240</v>
      </c>
      <c r="C56" s="4"/>
      <c r="D56" s="4"/>
    </row>
    <row r="57" customFormat="false" ht="15" hidden="false" customHeight="false" outlineLevel="0" collapsed="false">
      <c r="A57" s="4" t="s">
        <v>191</v>
      </c>
      <c r="B57" s="24" t="n">
        <f aca="false">Tariff!$B$32*Tariff!$B$48*Tariff!$B$52</f>
        <v>27097600</v>
      </c>
      <c r="C57" s="4"/>
      <c r="D57" s="4"/>
    </row>
    <row r="58" customFormat="false" ht="15" hidden="false" customHeight="false" outlineLevel="0" collapsed="false">
      <c r="A58" s="4" t="s">
        <v>192</v>
      </c>
      <c r="B58" s="24" t="n">
        <f aca="false">Tariff!$B$33*Tariff!$B$50*Tariff!$B$52</f>
        <v>162936</v>
      </c>
      <c r="C58" s="4"/>
      <c r="D58" s="4"/>
    </row>
    <row r="59" customFormat="false" ht="15" hidden="false" customHeight="false" outlineLevel="0" collapsed="false">
      <c r="A59" s="4" t="s">
        <v>193</v>
      </c>
      <c r="B59" s="24" t="n">
        <f aca="false">Tariff!$B$35*Tariff!$B$48*12</f>
        <v>14662080</v>
      </c>
      <c r="C59" s="4"/>
      <c r="D59" s="4"/>
    </row>
    <row r="60" customFormat="false" ht="15" hidden="false" customHeight="false" outlineLevel="0" collapsed="false">
      <c r="A60" s="4" t="s">
        <v>194</v>
      </c>
      <c r="B60" s="24" t="n">
        <f aca="false">Tariff!$B$36*Tariff!$B$46*1000</f>
        <v>8093451.6</v>
      </c>
      <c r="C60" s="4"/>
      <c r="D60" s="4"/>
    </row>
    <row r="61" customFormat="false" ht="15" hidden="false" customHeight="false" outlineLevel="0" collapsed="false">
      <c r="A61" s="4" t="s">
        <v>164</v>
      </c>
      <c r="B61" s="24" t="n">
        <f aca="false">Tariff!$B$37*Tariff!$B$46*1000</f>
        <v>75853190.4</v>
      </c>
      <c r="C61" s="4"/>
      <c r="D61" s="4"/>
    </row>
    <row r="62" customFormat="false" ht="15" hidden="false" customHeight="false" outlineLevel="0" collapsed="false">
      <c r="A62" s="4" t="s">
        <v>195</v>
      </c>
      <c r="B62" s="24" t="n">
        <f aca="false">Tariff!$B$38*Tariff!$B$46*1000</f>
        <v>22356220.8</v>
      </c>
      <c r="C62" s="4"/>
      <c r="D62" s="4"/>
    </row>
    <row r="63" customFormat="false" ht="15" hidden="false" customHeight="false" outlineLevel="0" collapsed="false">
      <c r="A63" s="5" t="s">
        <v>196</v>
      </c>
      <c r="B63" s="25" t="n">
        <f aca="false">SUM(B53:B62)</f>
        <v>168433098.536667</v>
      </c>
      <c r="C63" s="4"/>
      <c r="D63" s="4"/>
    </row>
    <row r="64" customFormat="false" ht="15" hidden="false" customHeight="false" outlineLevel="0" collapsed="false">
      <c r="A64" s="5" t="s">
        <v>197</v>
      </c>
      <c r="B64" s="26" t="n">
        <f aca="false">Tariff!$B$63/Tariff!$B$46</f>
        <v>83.5979246261002</v>
      </c>
      <c r="C64" s="4"/>
      <c r="D64" s="4"/>
    </row>
    <row r="65" customFormat="false" ht="15" hidden="false" customHeight="false" outlineLevel="0" collapsed="false">
      <c r="A65" s="4" t="s">
        <v>198</v>
      </c>
      <c r="B65" s="27" t="n">
        <f aca="false">Tariff!$B$64/10</f>
        <v>8.35979246261002</v>
      </c>
      <c r="C65" s="4"/>
      <c r="D65" s="4"/>
    </row>
    <row r="66" customFormat="false" ht="15" hidden="false" customHeight="false" outlineLevel="0" collapsed="false">
      <c r="A66" s="4"/>
      <c r="B66" s="4"/>
      <c r="C66" s="4"/>
      <c r="D66" s="4"/>
    </row>
    <row r="67" customFormat="false" ht="60" hidden="false" customHeight="true" outlineLevel="0" collapsed="false">
      <c r="A67" s="28" t="s">
        <v>199</v>
      </c>
      <c r="B67" s="28"/>
      <c r="C67" s="28"/>
      <c r="D67" s="28"/>
    </row>
    <row r="68" customFormat="false" ht="60" hidden="false" customHeight="true" outlineLevel="0" collapsed="false">
      <c r="A68" s="28" t="s">
        <v>200</v>
      </c>
      <c r="B68" s="28"/>
      <c r="C68" s="28"/>
      <c r="D68" s="28"/>
    </row>
  </sheetData>
  <mergeCells count="2">
    <mergeCell ref="A67:D67"/>
    <mergeCell ref="A68:D6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13" min="2" style="0" width="15"/>
  </cols>
  <sheetData>
    <row r="1" customFormat="false" ht="15" hidden="false" customHeight="false" outlineLevel="0" collapsed="false">
      <c r="A1" s="5" t="s">
        <v>201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customFormat="false" ht="15" hidden="false" customHeight="fals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customFormat="false" ht="45" hidden="false" customHeight="true" outlineLevel="0" collapsed="false">
      <c r="A3" s="5" t="s">
        <v>202</v>
      </c>
      <c r="B3" s="29" t="s">
        <v>203</v>
      </c>
      <c r="C3" s="29" t="s">
        <v>204</v>
      </c>
      <c r="D3" s="29" t="s">
        <v>205</v>
      </c>
      <c r="E3" s="29" t="s">
        <v>206</v>
      </c>
      <c r="F3" s="29" t="s">
        <v>207</v>
      </c>
      <c r="G3" s="29" t="s">
        <v>208</v>
      </c>
      <c r="H3" s="29" t="s">
        <v>209</v>
      </c>
      <c r="I3" s="29" t="s">
        <v>210</v>
      </c>
      <c r="J3" s="29" t="s">
        <v>211</v>
      </c>
      <c r="K3" s="29" t="s">
        <v>212</v>
      </c>
      <c r="L3" s="29" t="s">
        <v>213</v>
      </c>
      <c r="M3" s="29" t="s">
        <v>214</v>
      </c>
    </row>
    <row r="4" customFormat="false" ht="15" hidden="false" customHeight="false" outlineLevel="0" collapsed="false">
      <c r="A4" s="4" t="s">
        <v>215</v>
      </c>
      <c r="B4" s="24" t="n">
        <f aca="false">Tariff!$B$29*Tariff!$B$52+(Tariff!$B$30+Tariff!$B$31)*Tariff!$B$47*Tariff!$B$52+Tariff!$B$34*Tariff!$B$47*12+Tariff!$B$32*1*Tariff!$B$48*Tariff!$B$52+Tariff!$B$33*Tariff!$B$50*Tariff!$B$52+Tariff!$B$35*Tariff!$B$48*12+(Tariff!$B$36+Tariff!$B$37*1+Tariff!$B$38)*Tariff!$B$46*1000</f>
        <v>168433098.536667</v>
      </c>
      <c r="C4" s="24" t="n">
        <f aca="false">Tariff!$B$29*Tariff!$B$52+(Tariff!$B$30+Tariff!$B$31)*Tariff!$B$47*Tariff!$B$52+Tariff!$B$34*Tariff!$B$47*12+Tariff!$B$32*1*Tariff!$B$48*Tariff!$B$52+Tariff!$B$33*Tariff!$B$50*Tariff!$B$52+Tariff!$B$35*Tariff!$B$48*12+(Tariff!$B$36+Tariff!$B$37*1+Tariff!$B$38)*Tariff!$B$46*1000</f>
        <v>168433098.536667</v>
      </c>
      <c r="D4" s="24" t="n">
        <f aca="false">Tariff!$B$29*Tariff!$B$52+(Tariff!$B$30+Tariff!$B$31)*Tariff!$B$47*Tariff!$B$52+Tariff!$B$34*Tariff!$B$47*12+Tariff!$B$32*1*Tariff!$B$49*Tariff!$B$52+Tariff!$B$33*Tariff!$B$51*Tariff!$B$52+Tariff!$B$35*Tariff!$B$49*12+(Tariff!$B$36+Tariff!$B$37*1+Tariff!$B$38)*Tariff!$B$46*1000</f>
        <v>152315796.136667</v>
      </c>
      <c r="E4" s="24" t="n">
        <f aca="false">0</f>
        <v>0</v>
      </c>
      <c r="F4" s="24" t="n">
        <f aca="false">Tariff!$B$29*Tariff!$B$52+(Tariff!$B$30+Tariff!$B$31)*Tariff!$B$47*Tariff!$B$52+Tariff!$B$34*Tariff!$B$47*12+Tariff!$B$32*1*Tariff!$B$48*Tariff!$B$52+Tariff!$B$33*Tariff!$B$50*Tariff!$B$52+Tariff!$B$35*Tariff!$B$48*12+(Tariff!$B$36+Tariff!$B$37*Inputs!$B$50+Tariff!$B$38)*Tariff!$B$46*1000</f>
        <v>206359693.736667</v>
      </c>
      <c r="G4" s="24" t="n">
        <f aca="false">Tariff!$B$29*Tariff!$B$52+(Tariff!$B$30+Tariff!$B$31)*Tariff!$B$47*Tariff!$B$52+Tariff!$B$34*Tariff!$B$47*12+Tariff!$B$32*1*Tariff!$B$48*Tariff!$B$52+Tariff!$B$33*Tariff!$B$50*Tariff!$B$52+Tariff!$B$35*Tariff!$B$48*12+(Tariff!$B$36+Tariff!$B$37*Inputs!$B$50+Tariff!$B$38)*Tariff!$B$46*1000</f>
        <v>206359693.736667</v>
      </c>
      <c r="H4" s="24" t="n">
        <f aca="false">Tariff!$B$29*Tariff!$B$52+(Tariff!$B$30+Tariff!$B$31)*Tariff!$B$47*Tariff!$B$52+Tariff!$B$34*Tariff!$B$47*12+Tariff!$B$32*1*Tariff!$B$49*Tariff!$B$52+Tariff!$B$33*Tariff!$B$51*Tariff!$B$52+Tariff!$B$35*Tariff!$B$49*12+(Tariff!$B$36+Tariff!$B$37*Inputs!$B$50+Tariff!$B$38)*Tariff!$B$46*1000</f>
        <v>190242391.336667</v>
      </c>
      <c r="I4" s="24" t="n">
        <f aca="false">0</f>
        <v>0</v>
      </c>
      <c r="J4" s="24" t="n">
        <f aca="false">Tariff!$B$29*Tariff!$B$52+(Tariff!$B$30+Tariff!$B$31)*Tariff!$B$47*Tariff!$B$52+Tariff!$B$34*Tariff!$B$47*12+Tariff!$B$32*(1+Tariff!$B$43*(Inputs!$B$51/Inputs!$B$52-1))*Tariff!$B$48*Tariff!$B$52+Tariff!$B$33*Tariff!$B$50*Tariff!$B$52+Tariff!$B$35*Tariff!$B$48*12+(Tariff!$B$36+Tariff!$B$37*1+Tariff!$B$38)*Tariff!$B$46*1000</f>
        <v>185449552.663346</v>
      </c>
      <c r="K4" s="24" t="n">
        <f aca="false">Tariff!$B$29*Tariff!$B$52+(Tariff!$B$30+Tariff!$B$31)*Tariff!$B$47*Tariff!$B$52+Tariff!$B$34*Tariff!$B$47*12+Tariff!$B$32*(1+Tariff!$B$43*(Inputs!$B$51/Inputs!$B$52-1))*Tariff!$B$48*Tariff!$B$52+Tariff!$B$33*Tariff!$B$50*Tariff!$B$52+Tariff!$B$35*Tariff!$B$48*12+(Tariff!$B$36+Tariff!$B$37*1+Tariff!$B$38)*Tariff!$B$46*1000</f>
        <v>185449552.663346</v>
      </c>
      <c r="L4" s="24" t="n">
        <f aca="false">Tariff!$B$29*Tariff!$B$52+(Tariff!$B$30+Tariff!$B$31)*Tariff!$B$47*Tariff!$B$52+Tariff!$B$34*Tariff!$B$47*12+Tariff!$B$32*(1+Tariff!$B$43*(Inputs!$B$51/Inputs!$B$52-1))*Tariff!$B$49*Tariff!$B$52+Tariff!$B$33*Tariff!$B$51*Tariff!$B$52+Tariff!$B$35*Tariff!$B$49*12+(Tariff!$B$36+Tariff!$B$37*1+Tariff!$B$38)*Tariff!$B$46*1000</f>
        <v>162525668.612674</v>
      </c>
      <c r="M4" s="24" t="n">
        <f aca="false">0</f>
        <v>0</v>
      </c>
    </row>
    <row r="5" customFormat="false" ht="15" hidden="false" customHeight="false" outlineLevel="0" collapsed="false">
      <c r="A5" s="4" t="s">
        <v>216</v>
      </c>
      <c r="B5" s="24" t="n">
        <f aca="false">Inputs!$B$11*1000*(Inputs!$B$12*Inputs!$B$7+Inputs!$B$13)</f>
        <v>10500000</v>
      </c>
      <c r="C5" s="24" t="n">
        <f aca="false">Inputs!$B$11*1000*(Inputs!$B$12*Inputs!$B$7+Inputs!$B$13)</f>
        <v>10500000</v>
      </c>
      <c r="D5" s="24" t="n">
        <f aca="false">Inputs!$B$11*1000*(Inputs!$B$12*Inputs!$B$7+Inputs!$B$13)</f>
        <v>10500000</v>
      </c>
      <c r="E5" s="24" t="n">
        <f aca="false">Inputs!$B$11*1000*(Inputs!$B$12*Inputs!$B$7+Inputs!$B$13)</f>
        <v>10500000</v>
      </c>
      <c r="F5" s="24" t="n">
        <f aca="false">Inputs!$B$11*1000*(Inputs!$B$12*Inputs!$B$7+Inputs!$B$13)</f>
        <v>10500000</v>
      </c>
      <c r="G5" s="24" t="n">
        <f aca="false">Inputs!$B$11*1000*(Inputs!$B$12*Inputs!$B$7+Inputs!$B$13)</f>
        <v>10500000</v>
      </c>
      <c r="H5" s="24" t="n">
        <f aca="false">Inputs!$B$11*1000*(Inputs!$B$12*Inputs!$B$7+Inputs!$B$13)</f>
        <v>10500000</v>
      </c>
      <c r="I5" s="24" t="n">
        <f aca="false">Inputs!$B$11*1000*(Inputs!$B$12*Inputs!$B$7+Inputs!$B$13)</f>
        <v>10500000</v>
      </c>
      <c r="J5" s="24" t="n">
        <f aca="false">Inputs!$B$11*1000*(Inputs!$B$12*Inputs!$B$7+Inputs!$B$13)</f>
        <v>10500000</v>
      </c>
      <c r="K5" s="24" t="n">
        <f aca="false">Inputs!$B$11*1000*(Inputs!$B$12*Inputs!$B$7+Inputs!$B$13)</f>
        <v>10500000</v>
      </c>
      <c r="L5" s="24" t="n">
        <f aca="false">Inputs!$B$11*1000*(Inputs!$B$12*Inputs!$B$7+Inputs!$B$13)</f>
        <v>10500000</v>
      </c>
      <c r="M5" s="24" t="n">
        <f aca="false">Inputs!$B$11*1000*(Inputs!$B$12*Inputs!$B$7+Inputs!$B$13)</f>
        <v>10500000</v>
      </c>
    </row>
    <row r="6" customFormat="false" ht="15" hidden="false" customHeight="false" outlineLevel="0" collapsed="false">
      <c r="A6" s="4" t="s">
        <v>217</v>
      </c>
      <c r="B6" s="24" t="n">
        <f aca="false">Inputs!$B$14*Inputs!$B$7</f>
        <v>1500000</v>
      </c>
      <c r="C6" s="24" t="n">
        <f aca="false">Inputs!$B$14*Inputs!$B$7</f>
        <v>1500000</v>
      </c>
      <c r="D6" s="24" t="n">
        <f aca="false">Inputs!$B$14*Inputs!$B$7</f>
        <v>1500000</v>
      </c>
      <c r="E6" s="24" t="n">
        <f aca="false">Inputs!$B$14*Inputs!$B$7</f>
        <v>1500000</v>
      </c>
      <c r="F6" s="24" t="n">
        <f aca="false">Inputs!$B$14*Inputs!$B$7</f>
        <v>1500000</v>
      </c>
      <c r="G6" s="24" t="n">
        <f aca="false">Inputs!$B$14*Inputs!$B$7</f>
        <v>1500000</v>
      </c>
      <c r="H6" s="24" t="n">
        <f aca="false">Inputs!$B$14*Inputs!$B$7</f>
        <v>1500000</v>
      </c>
      <c r="I6" s="24" t="n">
        <f aca="false">Inputs!$B$14*Inputs!$B$7</f>
        <v>1500000</v>
      </c>
      <c r="J6" s="24" t="n">
        <f aca="false">Inputs!$B$14*Inputs!$B$7</f>
        <v>1500000</v>
      </c>
      <c r="K6" s="24" t="n">
        <f aca="false">Inputs!$B$14*Inputs!$B$7</f>
        <v>1500000</v>
      </c>
      <c r="L6" s="24" t="n">
        <f aca="false">Inputs!$B$14*Inputs!$B$7</f>
        <v>1500000</v>
      </c>
      <c r="M6" s="24" t="n">
        <f aca="false">Inputs!$B$14*Inputs!$B$7</f>
        <v>1500000</v>
      </c>
    </row>
    <row r="7" customFormat="false" ht="15" hidden="false" customHeight="false" outlineLevel="0" collapsed="false">
      <c r="A7" s="4" t="s">
        <v>218</v>
      </c>
      <c r="B7" s="24" t="n">
        <f aca="false">Inputs!$B$18*1000*(Inputs!$B$19*Inputs!$B$7+Inputs!$B$20)+Inputs!$B$18*Inputs!$B$15*Inputs!$B$7</f>
        <v>24288000</v>
      </c>
      <c r="C7" s="24" t="n">
        <f aca="false">Inputs!$B$25*1000*(Inputs!$B$26*Inputs!$B$7+Inputs!$B$27)+(Inputs!$B$31+Inputs!$B$25*Inputs!$B$15)*Inputs!$B$7</f>
        <v>72580000</v>
      </c>
      <c r="D7" s="24" t="n">
        <f aca="false">Inputs!$B$25*1000*(Inputs!$B$26*Inputs!$B$7+Inputs!$B$27)+(Inputs!$B$31+Inputs!$B$25*Inputs!$B$15)*Inputs!$B$7</f>
        <v>72580000</v>
      </c>
      <c r="E7" s="24" t="n">
        <f aca="false">Inputs!$B$43*1000*(Inputs!$B$26*Inputs!$B$7+Inputs!$B$27)+(Inputs!$B$31+Inputs!$B$43*Inputs!$B$15)*Inputs!$B$7</f>
        <v>81340000</v>
      </c>
      <c r="F7" s="24" t="n">
        <f aca="false">Inputs!$B$18*1000*(Inputs!$B$19*Inputs!$B$7+Inputs!$B$20)+Inputs!$B$18*Inputs!$B$15*Inputs!$B$7</f>
        <v>24288000</v>
      </c>
      <c r="G7" s="24" t="n">
        <f aca="false">Inputs!$B$25*1000*(Inputs!$B$26*Inputs!$B$7+Inputs!$B$27)+(Inputs!$B$31+Inputs!$B$25*Inputs!$B$15)*Inputs!$B$7</f>
        <v>72580000</v>
      </c>
      <c r="H7" s="24" t="n">
        <f aca="false">Inputs!$B$25*1000*(Inputs!$B$26*Inputs!$B$7+Inputs!$B$27)+(Inputs!$B$31+Inputs!$B$25*Inputs!$B$15)*Inputs!$B$7</f>
        <v>72580000</v>
      </c>
      <c r="I7" s="24" t="n">
        <f aca="false">Inputs!$B$43*1000*(Inputs!$B$26*Inputs!$B$7+Inputs!$B$27)+(Inputs!$B$31+Inputs!$B$43*Inputs!$B$15)*Inputs!$B$7</f>
        <v>81340000</v>
      </c>
      <c r="J7" s="24" t="n">
        <f aca="false">Inputs!$B$18*1000*(Inputs!$B$19*Inputs!$B$7+Inputs!$B$20)+Inputs!$B$18*Inputs!$B$15*Inputs!$B$7</f>
        <v>24288000</v>
      </c>
      <c r="K7" s="24" t="n">
        <f aca="false">Inputs!$B$25*1000*(Inputs!$B$26*Inputs!$B$7+Inputs!$B$27)+(Inputs!$B$31+Inputs!$B$25*Inputs!$B$15)*Inputs!$B$7</f>
        <v>72580000</v>
      </c>
      <c r="L7" s="24" t="n">
        <f aca="false">Inputs!$B$25*1000*(Inputs!$B$26*Inputs!$B$7+Inputs!$B$27)+(Inputs!$B$31+Inputs!$B$25*Inputs!$B$15)*Inputs!$B$7</f>
        <v>72580000</v>
      </c>
      <c r="M7" s="24" t="n">
        <f aca="false">Inputs!$B$43*1000*(Inputs!$B$26*Inputs!$B$7+Inputs!$B$27)+(Inputs!$B$31+Inputs!$B$43*Inputs!$B$15)*Inputs!$B$7</f>
        <v>81340000</v>
      </c>
    </row>
    <row r="8" customFormat="false" ht="15" hidden="false" customHeight="false" outlineLevel="0" collapsed="false">
      <c r="A8" s="4" t="s">
        <v>66</v>
      </c>
      <c r="B8" s="24" t="n">
        <f aca="false">0</f>
        <v>0</v>
      </c>
      <c r="C8" s="24" t="n">
        <f aca="false">Inputs!$B$25*Inputs!$B$28*24*Inputs!$B$32*365</f>
        <v>9530880</v>
      </c>
      <c r="D8" s="24" t="n">
        <f aca="false">Inputs!$B$25*Inputs!$B$28*24*Inputs!$B$32*365</f>
        <v>9530880</v>
      </c>
      <c r="E8" s="24" t="n">
        <f aca="false">Inputs!$B$6*Inputs!$B$44*24*Inputs!$B$32*365</f>
        <v>7148160</v>
      </c>
      <c r="F8" s="24" t="n">
        <f aca="false">0</f>
        <v>0</v>
      </c>
      <c r="G8" s="24" t="n">
        <f aca="false">Inputs!$B$25*Inputs!$B$28*24*Inputs!$B$32*365</f>
        <v>9530880</v>
      </c>
      <c r="H8" s="24" t="n">
        <f aca="false">Inputs!$B$25*Inputs!$B$28*24*Inputs!$B$32*365</f>
        <v>9530880</v>
      </c>
      <c r="I8" s="24" t="n">
        <f aca="false">Inputs!$B$6*Inputs!$B$44*24*Inputs!$B$32*365</f>
        <v>7148160</v>
      </c>
      <c r="J8" s="24" t="n">
        <f aca="false">0</f>
        <v>0</v>
      </c>
      <c r="K8" s="24" t="n">
        <f aca="false">Inputs!$B$25*Inputs!$B$28*24*Inputs!$B$32*365</f>
        <v>9530880</v>
      </c>
      <c r="L8" s="24" t="n">
        <f aca="false">Inputs!$B$25*Inputs!$B$28*24*Inputs!$B$32*365</f>
        <v>9530880</v>
      </c>
      <c r="M8" s="24" t="n">
        <f aca="false">Inputs!$B$6*Inputs!$B$44*24*Inputs!$B$32*365</f>
        <v>7148160</v>
      </c>
    </row>
    <row r="9" customFormat="false" ht="15" hidden="false" customHeight="false" outlineLevel="0" collapsed="false">
      <c r="A9" s="4" t="s">
        <v>219</v>
      </c>
      <c r="B9" s="24" t="n">
        <f aca="false">Inputs!$B$18*Inputs!$B$21*Inputs!$B$22</f>
        <v>3168000</v>
      </c>
      <c r="C9" s="24" t="n">
        <f aca="false">Inputs!$B$25*Inputs!$B$29*(Inputs!$B$28*Inputs!$B$48+Inputs!$B$30)</f>
        <v>1704000</v>
      </c>
      <c r="D9" s="24" t="n">
        <f aca="false">Inputs!$B$25*Inputs!$B$29*(Inputs!$B$28*Inputs!$B$48+Inputs!$B$30)</f>
        <v>1704000</v>
      </c>
      <c r="E9" s="24" t="n">
        <f aca="false">Tariff!$B$46*(Inputs!$B$44*Inputs!$B$48+Inputs!$B$45)</f>
        <v>107288100</v>
      </c>
      <c r="F9" s="24" t="n">
        <f aca="false">Inputs!$B$18*Inputs!$B$21*Inputs!$B$22</f>
        <v>3168000</v>
      </c>
      <c r="G9" s="24" t="n">
        <f aca="false">Inputs!$B$25*Inputs!$B$29*(Inputs!$B$28*Inputs!$B$49+Inputs!$B$30)</f>
        <v>2656000</v>
      </c>
      <c r="H9" s="24" t="n">
        <f aca="false">Inputs!$B$25*Inputs!$B$29*(Inputs!$B$28*Inputs!$B$49+Inputs!$B$30)</f>
        <v>2656000</v>
      </c>
      <c r="I9" s="24" t="n">
        <f aca="false">Tariff!$B$46*(Inputs!$B$44*Inputs!$B$49+Inputs!$B$45)</f>
        <v>167228400</v>
      </c>
      <c r="J9" s="24" t="n">
        <f aca="false">Inputs!$B$18*Inputs!$B$21*Inputs!$B$22</f>
        <v>3168000</v>
      </c>
      <c r="K9" s="24" t="n">
        <f aca="false">Inputs!$B$25*Inputs!$B$29*(Inputs!$B$28*Inputs!$B$48+Inputs!$B$30)</f>
        <v>1704000</v>
      </c>
      <c r="L9" s="24" t="n">
        <f aca="false">Inputs!$B$25*Inputs!$B$29*(Inputs!$B$28*Inputs!$B$48+Inputs!$B$30)</f>
        <v>1704000</v>
      </c>
      <c r="M9" s="24" t="n">
        <f aca="false">Tariff!$B$46*(Inputs!$B$44*Inputs!$B$48+Inputs!$B$45)</f>
        <v>107288100</v>
      </c>
    </row>
    <row r="10" customFormat="false" ht="15" hidden="false" customHeight="false" outlineLevel="0" collapsed="false">
      <c r="A10" s="4" t="s">
        <v>220</v>
      </c>
      <c r="B10" s="24" t="n">
        <f aca="false">0</f>
        <v>0</v>
      </c>
      <c r="C10" s="24" t="n">
        <f aca="false">Inputs!$B$34*1000*Inputs!$B$35*(Inputs!$B$7+Inputs!$B$37)+Inputs!$B$33*1000*Inputs!$B$36+Inputs!$B$34*Inputs!$B$38*(1/Inputs!$B$39-1)*(Tariff!$B$36+Tariff!$B$37*1+Tariff!$B$38)*1000</f>
        <v>12671680.9090909</v>
      </c>
      <c r="D10" s="24" t="n">
        <f aca="false">Inputs!$B$34*1000*Inputs!$B$35*(Inputs!$B$7+Inputs!$B$37)+Inputs!$B$33*1000*Inputs!$B$36+Inputs!$B$34*Inputs!$B$38*(1/Inputs!$B$39-1)*(Tariff!$B$36+Tariff!$B$37*1+Tariff!$B$38)*1000</f>
        <v>12671680.9090909</v>
      </c>
      <c r="E10" s="24" t="n">
        <f aca="false">Inputs!$B$34*1000*Inputs!$B$35*(Inputs!$B$7+Inputs!$B$37)+Inputs!$B$33*1000*Inputs!$B$36+Inputs!$B$34*Inputs!$B$38*(1/Inputs!$B$39-1)*(Inputs!$B$44*Inputs!$B$48+Inputs!$B$45)</f>
        <v>12675681.8181818</v>
      </c>
      <c r="F10" s="24" t="n">
        <f aca="false">0</f>
        <v>0</v>
      </c>
      <c r="G10" s="24" t="n">
        <f aca="false">Inputs!$B$34*1000*Inputs!$B$35*(Inputs!$B$7+Inputs!$B$37)+Inputs!$B$33*1000*Inputs!$B$36+Inputs!$B$34*Inputs!$B$38*(1/Inputs!$B$39-1)*(Tariff!$B$36+Tariff!$B$37*Inputs!$B$50+Tariff!$B$38)*1000</f>
        <v>12825695.4545455</v>
      </c>
      <c r="H10" s="24" t="n">
        <f aca="false">Inputs!$B$34*1000*Inputs!$B$35*(Inputs!$B$7+Inputs!$B$37)+Inputs!$B$33*1000*Inputs!$B$36+Inputs!$B$34*Inputs!$B$38*(1/Inputs!$B$39-1)*(Tariff!$B$36+Tariff!$B$37*Inputs!$B$50+Tariff!$B$38)*1000</f>
        <v>12825695.4545455</v>
      </c>
      <c r="I10" s="24" t="n">
        <f aca="false">Inputs!$B$34*1000*Inputs!$B$35*(Inputs!$B$7+Inputs!$B$37)+Inputs!$B$33*1000*Inputs!$B$36+Inputs!$B$34*Inputs!$B$38*(1/Inputs!$B$39-1)*(Inputs!$B$44*Inputs!$B$49+Inputs!$B$45)</f>
        <v>12919090.9090909</v>
      </c>
      <c r="J10" s="24" t="n">
        <f aca="false">0</f>
        <v>0</v>
      </c>
      <c r="K10" s="24" t="n">
        <f aca="false">Inputs!$B$34*1000*Inputs!$B$35*(Inputs!$B$7+Inputs!$B$37)+Inputs!$B$33*1000*Inputs!$B$36+Inputs!$B$34*Inputs!$B$38*(1/Inputs!$B$39-1)*(Tariff!$B$36+Tariff!$B$37*1+Tariff!$B$38)*1000</f>
        <v>12671680.9090909</v>
      </c>
      <c r="L10" s="24" t="n">
        <f aca="false">Inputs!$B$34*1000*Inputs!$B$35*(Inputs!$B$7+Inputs!$B$37)+Inputs!$B$33*1000*Inputs!$B$36+Inputs!$B$34*Inputs!$B$38*(1/Inputs!$B$39-1)*(Tariff!$B$36+Tariff!$B$37*1+Tariff!$B$38)*1000</f>
        <v>12671680.9090909</v>
      </c>
      <c r="M10" s="24" t="n">
        <f aca="false">Inputs!$B$34*1000*Inputs!$B$35*(Inputs!$B$7+Inputs!$B$37)+Inputs!$B$33*1000*Inputs!$B$36+Inputs!$B$34*Inputs!$B$38*(1/Inputs!$B$39-1)*(Inputs!$B$44*Inputs!$B$48+Inputs!$B$45)</f>
        <v>12675681.8181818</v>
      </c>
    </row>
    <row r="11" customFormat="false" ht="15" hidden="false" customHeight="false" outlineLevel="0" collapsed="false">
      <c r="A11" s="5" t="s">
        <v>221</v>
      </c>
      <c r="B11" s="25" t="n">
        <f aca="false">SUM(B4:B10)</f>
        <v>207889098.536667</v>
      </c>
      <c r="C11" s="25" t="n">
        <f aca="false">SUM(C4:C10)</f>
        <v>276919659.445758</v>
      </c>
      <c r="D11" s="25" t="n">
        <f aca="false">SUM(D4:D10)</f>
        <v>260802357.045758</v>
      </c>
      <c r="E11" s="25" t="n">
        <f aca="false">SUM(E4:E10)</f>
        <v>220451941.818182</v>
      </c>
      <c r="F11" s="25" t="n">
        <f aca="false">SUM(F4:F10)</f>
        <v>245815693.736667</v>
      </c>
      <c r="G11" s="25" t="n">
        <f aca="false">SUM(G4:G10)</f>
        <v>315952269.191212</v>
      </c>
      <c r="H11" s="25" t="n">
        <f aca="false">SUM(H4:H10)</f>
        <v>299834966.791212</v>
      </c>
      <c r="I11" s="25" t="n">
        <f aca="false">SUM(I4:I10)</f>
        <v>280635650.909091</v>
      </c>
      <c r="J11" s="25" t="n">
        <f aca="false">SUM(J4:J10)</f>
        <v>224905552.663346</v>
      </c>
      <c r="K11" s="25" t="n">
        <f aca="false">SUM(K4:K10)</f>
        <v>293936113.572437</v>
      </c>
      <c r="L11" s="25" t="n">
        <f aca="false">SUM(L4:L10)</f>
        <v>271012229.521765</v>
      </c>
      <c r="M11" s="25" t="n">
        <f aca="false">SUM(M4:M10)</f>
        <v>220451941.818182</v>
      </c>
    </row>
    <row r="12" customFormat="false" ht="15" hidden="false" customHeight="false" outlineLevel="0" collapsed="false">
      <c r="A12" s="5" t="s">
        <v>222</v>
      </c>
      <c r="B12" s="26" t="n">
        <f aca="false">B11/Tariff!$B$46</f>
        <v>103.181009795844</v>
      </c>
      <c r="C12" s="26" t="n">
        <f aca="false">C11/Tariff!$B$46</f>
        <v>137.442753348103</v>
      </c>
      <c r="D12" s="26" t="n">
        <f aca="false">D11/Tariff!$B$46</f>
        <v>129.443298116814</v>
      </c>
      <c r="E12" s="26" t="n">
        <f aca="false">E11/Tariff!$B$46</f>
        <v>109.416290360424</v>
      </c>
      <c r="F12" s="26" t="n">
        <f aca="false">F11/Tariff!$B$46</f>
        <v>122.005009795844</v>
      </c>
      <c r="G12" s="26" t="n">
        <f aca="false">G11/Tariff!$B$46</f>
        <v>156.815698427244</v>
      </c>
      <c r="H12" s="26" t="n">
        <f aca="false">H11/Tariff!$B$46</f>
        <v>148.816243195956</v>
      </c>
      <c r="I12" s="26" t="n">
        <f aca="false">I11/Tariff!$B$46</f>
        <v>139.287100907828</v>
      </c>
      <c r="J12" s="26" t="n">
        <f aca="false">J11/Tariff!$B$46</f>
        <v>111.626738467017</v>
      </c>
      <c r="K12" s="26" t="n">
        <f aca="false">K11/Tariff!$B$46</f>
        <v>145.888482019276</v>
      </c>
      <c r="L12" s="26" t="n">
        <f aca="false">L11/Tariff!$B$46</f>
        <v>134.510735319518</v>
      </c>
      <c r="M12" s="26" t="n">
        <f aca="false">M11/Tariff!$B$46</f>
        <v>109.416290360424</v>
      </c>
    </row>
    <row r="13" customFormat="false" ht="15" hidden="false" customHeight="false" outlineLevel="0" collapsed="false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customFormat="false" ht="15" hidden="false" customHeight="false" outlineLevel="0" collapsed="false">
      <c r="A14" s="5" t="s">
        <v>223</v>
      </c>
      <c r="B14" s="4"/>
      <c r="C14" s="30" t="n">
        <f aca="false">C12-B12</f>
        <v>34.2617435522588</v>
      </c>
      <c r="D14" s="30" t="n">
        <f aca="false">D12-B12</f>
        <v>26.2622883209703</v>
      </c>
      <c r="E14" s="4"/>
      <c r="F14" s="4"/>
      <c r="G14" s="30" t="n">
        <f aca="false">G12-F12</f>
        <v>34.8106886314004</v>
      </c>
      <c r="H14" s="30" t="n">
        <f aca="false">H12-F12</f>
        <v>26.8112334001119</v>
      </c>
      <c r="I14" s="4"/>
      <c r="J14" s="4"/>
      <c r="K14" s="30" t="n">
        <f aca="false">K12-J12</f>
        <v>34.2617435522588</v>
      </c>
      <c r="L14" s="30" t="n">
        <f aca="false">L12-J12</f>
        <v>22.8839968525011</v>
      </c>
      <c r="M14" s="4"/>
    </row>
    <row r="15" customFormat="false" ht="15" hidden="false" customHeight="false" outlineLevel="0" collapsed="false">
      <c r="A15" s="4" t="s">
        <v>224</v>
      </c>
      <c r="B15" s="4"/>
      <c r="C15" s="24" t="n">
        <f aca="false">C11-B11</f>
        <v>69030560.9090909</v>
      </c>
      <c r="D15" s="24" t="n">
        <f aca="false">D11-B11</f>
        <v>52913258.5090909</v>
      </c>
      <c r="E15" s="4"/>
      <c r="F15" s="4"/>
      <c r="G15" s="24" t="n">
        <f aca="false">G11-F11</f>
        <v>70136575.4545454</v>
      </c>
      <c r="H15" s="24" t="n">
        <f aca="false">H11-F11</f>
        <v>54019273.0545455</v>
      </c>
      <c r="I15" s="4"/>
      <c r="J15" s="4"/>
      <c r="K15" s="24" t="n">
        <f aca="false">K11-J11</f>
        <v>69030560.9090909</v>
      </c>
      <c r="L15" s="24" t="n">
        <f aca="false">L11-J11</f>
        <v>46106676.8584191</v>
      </c>
      <c r="M15" s="4"/>
    </row>
    <row r="16" customFormat="false" ht="15" hidden="false" customHeight="false" outlineLevel="0" collapsed="false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customFormat="false" ht="15" hidden="false" customHeight="false" outlineLevel="0" collapsed="false">
      <c r="A17" s="5" t="s">
        <v>225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customFormat="false" ht="15" hidden="false" customHeight="false" outlineLevel="0" collapsed="false">
      <c r="A18" s="4" t="s">
        <v>226</v>
      </c>
      <c r="B18" s="30" t="n">
        <f aca="false">(C7-B7)/Tariff!$B$46</f>
        <v>23.968632122295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customFormat="false" ht="15" hidden="false" customHeight="false" outlineLevel="0" collapsed="false">
      <c r="A19" s="4" t="s">
        <v>227</v>
      </c>
      <c r="B19" s="30" t="n">
        <f aca="false">C8/Tariff!$B$46</f>
        <v>4.7304347826087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customFormat="false" ht="15" hidden="false" customHeight="false" outlineLevel="0" collapsed="false">
      <c r="A20" s="4" t="s">
        <v>228</v>
      </c>
      <c r="B20" s="30" t="n">
        <f aca="false">(C9-B9)/Tariff!$B$46</f>
        <v>-0.726622989874926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customFormat="false" ht="15" hidden="false" customHeight="false" outlineLevel="0" collapsed="false">
      <c r="A21" s="4" t="s">
        <v>229</v>
      </c>
      <c r="B21" s="30" t="n">
        <f aca="false">C10/Tariff!$B$46</f>
        <v>6.28929963722995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customFormat="false" ht="15" hidden="false" customHeight="false" outlineLevel="0" collapsed="false">
      <c r="A22" s="4" t="s">
        <v>230</v>
      </c>
      <c r="B22" s="30" t="n">
        <f aca="false">C14</f>
        <v>34.2617435522588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customFormat="false" ht="15" hidden="false" customHeight="false" outlineLevel="0" collapsed="false">
      <c r="A23" s="4" t="s">
        <v>231</v>
      </c>
      <c r="B23" s="30" t="n">
        <f aca="false">D14-C14</f>
        <v>-7.99945523128847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customFormat="false" ht="15" hidden="false" customHeight="false" outlineLevel="0" collapsed="false">
      <c r="A24" s="4" t="s">
        <v>232</v>
      </c>
      <c r="B24" s="30" t="n">
        <f aca="false">D14</f>
        <v>26.2622883209703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customFormat="false" ht="15" hidden="false" customHeight="false" outlineLevel="0" collapsed="false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customFormat="false" ht="48" hidden="false" customHeight="true" outlineLevel="0" collapsed="false">
      <c r="A26" s="28" t="s">
        <v>233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</sheetData>
  <mergeCells count="1">
    <mergeCell ref="A26:M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40"/>
    <col collapsed="false" customWidth="true" hidden="false" outlineLevel="0" max="15" min="3" style="0" width="12"/>
  </cols>
  <sheetData>
    <row r="1" customFormat="false" ht="31.5" hidden="false" customHeight="true" outlineLevel="0" collapsed="false">
      <c r="A1" s="29" t="s">
        <v>234</v>
      </c>
      <c r="B1" s="29" t="s">
        <v>235</v>
      </c>
      <c r="C1" s="29" t="s">
        <v>236</v>
      </c>
      <c r="D1" s="29" t="s">
        <v>237</v>
      </c>
      <c r="E1" s="29" t="s">
        <v>238</v>
      </c>
      <c r="F1" s="29" t="s">
        <v>239</v>
      </c>
      <c r="G1" s="29" t="s">
        <v>240</v>
      </c>
      <c r="H1" s="29" t="s">
        <v>241</v>
      </c>
      <c r="I1" s="29" t="s">
        <v>242</v>
      </c>
      <c r="J1" s="29" t="s">
        <v>243</v>
      </c>
      <c r="K1" s="29" t="s">
        <v>244</v>
      </c>
      <c r="L1" s="29" t="s">
        <v>245</v>
      </c>
      <c r="M1" s="29" t="s">
        <v>246</v>
      </c>
      <c r="N1" s="29" t="s">
        <v>247</v>
      </c>
      <c r="O1" s="29" t="s">
        <v>248</v>
      </c>
    </row>
    <row r="2" customFormat="false" ht="15" hidden="false" customHeight="false" outlineLevel="0" collapsed="false">
      <c r="A2" s="6" t="s">
        <v>249</v>
      </c>
      <c r="B2" s="6" t="s">
        <v>250</v>
      </c>
      <c r="C2" s="6" t="s">
        <v>251</v>
      </c>
      <c r="D2" s="10" t="n">
        <v>35</v>
      </c>
      <c r="E2" s="10" t="n">
        <v>33.6</v>
      </c>
      <c r="F2" s="10" t="n">
        <v>32.3</v>
      </c>
      <c r="G2" s="10" t="n">
        <v>24.2</v>
      </c>
      <c r="H2" s="10" t="n">
        <v>37.8</v>
      </c>
      <c r="I2" s="10" t="n">
        <v>1127</v>
      </c>
      <c r="J2" s="10" t="n">
        <v>468</v>
      </c>
      <c r="K2" s="10" t="n">
        <v>228</v>
      </c>
      <c r="L2" s="10" t="n">
        <v>66</v>
      </c>
      <c r="M2" s="10" t="n">
        <v>12</v>
      </c>
      <c r="N2" s="10" t="n">
        <v>0</v>
      </c>
      <c r="O2" s="10" t="n">
        <v>0</v>
      </c>
    </row>
    <row r="3" customFormat="false" ht="15" hidden="false" customHeight="false" outlineLevel="0" collapsed="false">
      <c r="A3" s="6" t="s">
        <v>252</v>
      </c>
      <c r="B3" s="6" t="s">
        <v>253</v>
      </c>
      <c r="C3" s="6" t="s">
        <v>254</v>
      </c>
      <c r="D3" s="10" t="n">
        <v>34</v>
      </c>
      <c r="E3" s="10" t="n">
        <v>32.6</v>
      </c>
      <c r="F3" s="10" t="n">
        <v>31.4</v>
      </c>
      <c r="G3" s="10" t="n">
        <v>23.6</v>
      </c>
      <c r="H3" s="10" t="n">
        <v>37.2</v>
      </c>
      <c r="I3" s="10" t="n">
        <v>896</v>
      </c>
      <c r="J3" s="10" t="n">
        <v>361</v>
      </c>
      <c r="K3" s="10" t="n">
        <v>158</v>
      </c>
      <c r="L3" s="10" t="n">
        <v>35</v>
      </c>
      <c r="M3" s="10" t="n">
        <v>8</v>
      </c>
      <c r="N3" s="10" t="n">
        <v>0</v>
      </c>
      <c r="O3" s="10" t="n">
        <v>0</v>
      </c>
    </row>
    <row r="4" customFormat="false" ht="15" hidden="false" customHeight="false" outlineLevel="0" collapsed="false">
      <c r="A4" s="6" t="s">
        <v>255</v>
      </c>
      <c r="B4" s="6" t="s">
        <v>256</v>
      </c>
      <c r="C4" s="6" t="s">
        <v>257</v>
      </c>
      <c r="D4" s="10" t="n">
        <v>34.2</v>
      </c>
      <c r="E4" s="10" t="n">
        <v>33.1</v>
      </c>
      <c r="F4" s="10" t="n">
        <v>32</v>
      </c>
      <c r="G4" s="10" t="n">
        <v>23.1</v>
      </c>
      <c r="H4" s="10" t="n">
        <v>35</v>
      </c>
      <c r="I4" s="10" t="n">
        <v>1320</v>
      </c>
      <c r="J4" s="10" t="n">
        <v>489</v>
      </c>
      <c r="K4" s="10" t="n">
        <v>203</v>
      </c>
      <c r="L4" s="10" t="n">
        <v>7</v>
      </c>
      <c r="M4" s="10" t="n">
        <v>0</v>
      </c>
      <c r="N4" s="10" t="n">
        <v>0</v>
      </c>
      <c r="O4" s="10" t="n">
        <v>0</v>
      </c>
    </row>
    <row r="5" customFormat="false" ht="15" hidden="false" customHeight="false" outlineLevel="0" collapsed="false">
      <c r="A5" s="6" t="s">
        <v>258</v>
      </c>
      <c r="B5" s="6" t="s">
        <v>259</v>
      </c>
      <c r="C5" s="6" t="s">
        <v>260</v>
      </c>
      <c r="D5" s="10" t="n">
        <v>36.8</v>
      </c>
      <c r="E5" s="10" t="n">
        <v>35.6</v>
      </c>
      <c r="F5" s="10" t="n">
        <v>34.6</v>
      </c>
      <c r="G5" s="10" t="n">
        <v>24.8</v>
      </c>
      <c r="H5" s="10" t="n">
        <v>37.8</v>
      </c>
      <c r="I5" s="10" t="n">
        <v>2477</v>
      </c>
      <c r="J5" s="10" t="n">
        <v>1226</v>
      </c>
      <c r="K5" s="10" t="n">
        <v>786</v>
      </c>
      <c r="L5" s="10" t="n">
        <v>239</v>
      </c>
      <c r="M5" s="10" t="n">
        <v>51</v>
      </c>
      <c r="N5" s="10" t="n">
        <v>0</v>
      </c>
      <c r="O5" s="10" t="n">
        <v>0</v>
      </c>
    </row>
    <row r="6" customFormat="false" ht="15" hidden="false" customHeight="false" outlineLevel="0" collapsed="false">
      <c r="A6" s="6" t="s">
        <v>261</v>
      </c>
      <c r="B6" s="6" t="s">
        <v>262</v>
      </c>
      <c r="C6" s="6" t="s">
        <v>263</v>
      </c>
      <c r="D6" s="10" t="n">
        <v>38.9</v>
      </c>
      <c r="E6" s="10" t="n">
        <v>37.5</v>
      </c>
      <c r="F6" s="10" t="n">
        <v>36.2</v>
      </c>
      <c r="G6" s="10" t="n">
        <v>23.5</v>
      </c>
      <c r="H6" s="10" t="n">
        <v>38.3</v>
      </c>
      <c r="I6" s="10" t="n">
        <v>2367</v>
      </c>
      <c r="J6" s="10" t="n">
        <v>1288</v>
      </c>
      <c r="K6" s="10" t="n">
        <v>892</v>
      </c>
      <c r="L6" s="10" t="n">
        <v>458</v>
      </c>
      <c r="M6" s="10" t="n">
        <v>152</v>
      </c>
      <c r="N6" s="10" t="n">
        <v>3</v>
      </c>
      <c r="O6" s="10" t="n">
        <v>0</v>
      </c>
    </row>
    <row r="7" customFormat="false" ht="15" hidden="false" customHeight="false" outlineLevel="0" collapsed="false">
      <c r="A7" s="6" t="s">
        <v>264</v>
      </c>
      <c r="B7" s="6" t="s">
        <v>265</v>
      </c>
      <c r="C7" s="6" t="s">
        <v>266</v>
      </c>
      <c r="D7" s="10" t="n">
        <v>44</v>
      </c>
      <c r="E7" s="10" t="n">
        <v>42.8</v>
      </c>
      <c r="F7" s="10" t="n">
        <v>41.7</v>
      </c>
      <c r="G7" s="10" t="n">
        <v>20.8</v>
      </c>
      <c r="H7" s="10" t="n">
        <v>46.1</v>
      </c>
      <c r="I7" s="10" t="n">
        <v>3839</v>
      </c>
      <c r="J7" s="10" t="n">
        <v>2907</v>
      </c>
      <c r="K7" s="10" t="n">
        <v>2399</v>
      </c>
      <c r="L7" s="10" t="n">
        <v>1753</v>
      </c>
      <c r="M7" s="10" t="n">
        <v>1308</v>
      </c>
      <c r="N7" s="10" t="n">
        <v>815</v>
      </c>
      <c r="O7" s="10" t="n">
        <v>409</v>
      </c>
    </row>
    <row r="8" customFormat="false" ht="15" hidden="false" customHeight="false" outlineLevel="0" collapsed="false">
      <c r="A8" s="6" t="s">
        <v>267</v>
      </c>
      <c r="B8" s="6" t="s">
        <v>268</v>
      </c>
      <c r="C8" s="6" t="s">
        <v>269</v>
      </c>
      <c r="D8" s="10" t="n">
        <v>42.9</v>
      </c>
      <c r="E8" s="10" t="n">
        <v>41.6</v>
      </c>
      <c r="F8" s="10" t="n">
        <v>40.5</v>
      </c>
      <c r="G8" s="10" t="n">
        <v>19.4</v>
      </c>
      <c r="H8" s="10" t="n">
        <v>43.9</v>
      </c>
      <c r="I8" s="10" t="n">
        <v>3111</v>
      </c>
      <c r="J8" s="10" t="n">
        <v>2276</v>
      </c>
      <c r="K8" s="10" t="n">
        <v>1813</v>
      </c>
      <c r="L8" s="10" t="n">
        <v>1233</v>
      </c>
      <c r="M8" s="10" t="n">
        <v>890</v>
      </c>
      <c r="N8" s="10" t="n">
        <v>501</v>
      </c>
      <c r="O8" s="10" t="n">
        <v>226</v>
      </c>
    </row>
    <row r="9" customFormat="false" ht="15" hidden="false" customHeight="false" outlineLevel="0" collapsed="false">
      <c r="A9" s="6" t="s">
        <v>270</v>
      </c>
      <c r="B9" s="6" t="s">
        <v>271</v>
      </c>
      <c r="C9" s="6" t="s">
        <v>272</v>
      </c>
      <c r="D9" s="10" t="n">
        <v>36.4</v>
      </c>
      <c r="E9" s="10" t="n">
        <v>35.1</v>
      </c>
      <c r="F9" s="10" t="n">
        <v>33.6</v>
      </c>
      <c r="G9" s="10" t="n">
        <v>16.1</v>
      </c>
      <c r="H9" s="10" t="n">
        <v>39.4</v>
      </c>
      <c r="I9" s="10" t="n">
        <v>1049</v>
      </c>
      <c r="J9" s="10" t="n">
        <v>614</v>
      </c>
      <c r="K9" s="10" t="n">
        <v>437</v>
      </c>
      <c r="L9" s="10" t="n">
        <v>201</v>
      </c>
      <c r="M9" s="10" t="n">
        <v>70</v>
      </c>
      <c r="N9" s="10" t="n">
        <v>6</v>
      </c>
      <c r="O9" s="10" t="n">
        <v>0</v>
      </c>
    </row>
    <row r="10" customFormat="false" ht="15" hidden="false" customHeight="false" outlineLevel="0" collapsed="false">
      <c r="A10" s="6" t="s">
        <v>273</v>
      </c>
      <c r="B10" s="6" t="s">
        <v>274</v>
      </c>
      <c r="C10" s="6" t="s">
        <v>275</v>
      </c>
      <c r="D10" s="10" t="n">
        <v>32.9</v>
      </c>
      <c r="E10" s="10" t="n">
        <v>31.5</v>
      </c>
      <c r="F10" s="10" t="n">
        <v>30.1</v>
      </c>
      <c r="G10" s="10" t="n">
        <v>23.2</v>
      </c>
      <c r="H10" s="10" t="n">
        <v>37.8</v>
      </c>
      <c r="I10" s="10" t="n">
        <v>610</v>
      </c>
      <c r="J10" s="10" t="n">
        <v>202</v>
      </c>
      <c r="K10" s="10" t="n">
        <v>72</v>
      </c>
      <c r="L10" s="10" t="n">
        <v>17</v>
      </c>
      <c r="M10" s="10" t="n">
        <v>7</v>
      </c>
      <c r="N10" s="10" t="n">
        <v>0</v>
      </c>
      <c r="O10" s="10" t="n">
        <v>0</v>
      </c>
    </row>
    <row r="11" customFormat="false" ht="15" hidden="false" customHeight="false" outlineLevel="0" collapsed="false">
      <c r="A11" s="6" t="s">
        <v>276</v>
      </c>
      <c r="B11" s="6" t="s">
        <v>277</v>
      </c>
      <c r="C11" s="6" t="s">
        <v>278</v>
      </c>
      <c r="D11" s="10" t="n">
        <v>32.8</v>
      </c>
      <c r="E11" s="10" t="n">
        <v>31.6</v>
      </c>
      <c r="F11" s="10" t="n">
        <v>30.3</v>
      </c>
      <c r="G11" s="10" t="n">
        <v>22.9</v>
      </c>
      <c r="H11" s="10" t="n">
        <v>33.3</v>
      </c>
      <c r="I11" s="10" t="n">
        <v>631</v>
      </c>
      <c r="J11" s="10" t="n">
        <v>150</v>
      </c>
      <c r="K11" s="10" t="n">
        <v>37</v>
      </c>
      <c r="L11" s="10" t="n">
        <v>0</v>
      </c>
      <c r="M11" s="10" t="n">
        <v>0</v>
      </c>
      <c r="N11" s="10" t="n">
        <v>0</v>
      </c>
      <c r="O11" s="10" t="n">
        <v>0</v>
      </c>
    </row>
    <row r="12" customFormat="false" ht="15" hidden="false" customHeight="false" outlineLevel="0" collapsed="false">
      <c r="A12" s="6" t="s">
        <v>279</v>
      </c>
      <c r="B12" s="6" t="s">
        <v>280</v>
      </c>
      <c r="C12" s="6" t="s">
        <v>281</v>
      </c>
      <c r="D12" s="10" t="n">
        <v>34</v>
      </c>
      <c r="E12" s="10" t="n">
        <v>32.5</v>
      </c>
      <c r="F12" s="10" t="n">
        <v>31</v>
      </c>
      <c r="G12" s="10" t="n">
        <v>24.4</v>
      </c>
      <c r="H12" s="10" t="n">
        <v>37.2</v>
      </c>
      <c r="I12" s="10" t="n">
        <v>835</v>
      </c>
      <c r="J12" s="10" t="n">
        <v>265</v>
      </c>
      <c r="K12" s="10" t="n">
        <v>102</v>
      </c>
      <c r="L12" s="10" t="n">
        <v>21</v>
      </c>
      <c r="M12" s="10" t="n">
        <v>7</v>
      </c>
      <c r="N12" s="10" t="n">
        <v>0</v>
      </c>
      <c r="O12" s="10" t="n">
        <v>0</v>
      </c>
    </row>
    <row r="13" customFormat="false" ht="15" hidden="false" customHeight="false" outlineLevel="0" collapsed="false">
      <c r="A13" s="6" t="s">
        <v>282</v>
      </c>
      <c r="B13" s="6" t="s">
        <v>283</v>
      </c>
      <c r="C13" s="6" t="s">
        <v>284</v>
      </c>
      <c r="D13" s="10" t="n">
        <v>33.5</v>
      </c>
      <c r="E13" s="10" t="n">
        <v>31.2</v>
      </c>
      <c r="F13" s="10" t="n">
        <v>29.2</v>
      </c>
      <c r="G13" s="10" t="n">
        <v>19.7</v>
      </c>
      <c r="H13" s="10" t="n">
        <v>36.1</v>
      </c>
      <c r="I13" s="10" t="n">
        <v>411</v>
      </c>
      <c r="J13" s="10" t="n">
        <v>124</v>
      </c>
      <c r="K13" s="10" t="n">
        <v>51</v>
      </c>
      <c r="L13" s="10" t="n">
        <v>18</v>
      </c>
      <c r="M13" s="10" t="n">
        <v>3</v>
      </c>
      <c r="N13" s="10" t="n">
        <v>0</v>
      </c>
      <c r="O13" s="10" t="n">
        <v>0</v>
      </c>
    </row>
    <row r="14" customFormat="false" ht="15" hidden="false" customHeight="false" outlineLevel="0" collapsed="false">
      <c r="A14" s="6" t="s">
        <v>285</v>
      </c>
      <c r="B14" s="6" t="s">
        <v>286</v>
      </c>
      <c r="C14" s="6" t="s">
        <v>287</v>
      </c>
      <c r="D14" s="10" t="n">
        <v>37</v>
      </c>
      <c r="E14" s="10" t="n">
        <v>35.1</v>
      </c>
      <c r="F14" s="10" t="n">
        <v>33.1</v>
      </c>
      <c r="G14" s="10" t="n">
        <v>19.1</v>
      </c>
      <c r="H14" s="10" t="n">
        <v>41.7</v>
      </c>
      <c r="I14" s="10" t="n">
        <v>895</v>
      </c>
      <c r="J14" s="10" t="n">
        <v>457</v>
      </c>
      <c r="K14" s="10" t="n">
        <v>285</v>
      </c>
      <c r="L14" s="10" t="n">
        <v>148</v>
      </c>
      <c r="M14" s="10" t="n">
        <v>100</v>
      </c>
      <c r="N14" s="10" t="n">
        <v>46</v>
      </c>
      <c r="O14" s="10" t="n">
        <v>10</v>
      </c>
    </row>
    <row r="15" customFormat="false" ht="15" hidden="false" customHeight="false" outlineLevel="0" collapsed="false">
      <c r="A15" s="6" t="s">
        <v>288</v>
      </c>
      <c r="B15" s="6" t="s">
        <v>289</v>
      </c>
      <c r="C15" s="6" t="s">
        <v>290</v>
      </c>
      <c r="D15" s="10" t="n">
        <v>37.3</v>
      </c>
      <c r="E15" s="10" t="n">
        <v>35.8</v>
      </c>
      <c r="F15" s="10" t="n">
        <v>34.2</v>
      </c>
      <c r="G15" s="10" t="n">
        <v>17.4</v>
      </c>
      <c r="H15" s="10" t="n">
        <v>39.4</v>
      </c>
      <c r="I15" s="10" t="n">
        <v>983</v>
      </c>
      <c r="J15" s="10" t="n">
        <v>537</v>
      </c>
      <c r="K15" s="10" t="n">
        <v>363</v>
      </c>
      <c r="L15" s="10" t="n">
        <v>194</v>
      </c>
      <c r="M15" s="10" t="n">
        <v>87</v>
      </c>
      <c r="N15" s="10" t="n">
        <v>12</v>
      </c>
      <c r="O15" s="10" t="n">
        <v>0</v>
      </c>
    </row>
    <row r="16" customFormat="false" ht="15" hidden="false" customHeight="false" outlineLevel="0" collapsed="false">
      <c r="A16" s="6" t="s">
        <v>291</v>
      </c>
      <c r="B16" s="6" t="s">
        <v>292</v>
      </c>
      <c r="C16" s="6" t="s">
        <v>293</v>
      </c>
      <c r="D16" s="10" t="n">
        <v>37.1</v>
      </c>
      <c r="E16" s="10" t="n">
        <v>35.8</v>
      </c>
      <c r="F16" s="10" t="n">
        <v>34.4</v>
      </c>
      <c r="G16" s="10" t="n">
        <v>16.8</v>
      </c>
      <c r="H16" s="10" t="n">
        <v>38.3</v>
      </c>
      <c r="I16" s="10" t="n">
        <v>1161</v>
      </c>
      <c r="J16" s="10" t="n">
        <v>684</v>
      </c>
      <c r="K16" s="10" t="n">
        <v>452</v>
      </c>
      <c r="L16" s="10" t="n">
        <v>221</v>
      </c>
      <c r="M16" s="10" t="n">
        <v>115</v>
      </c>
      <c r="N16" s="10" t="n">
        <v>6</v>
      </c>
      <c r="O16" s="10" t="n">
        <v>0</v>
      </c>
    </row>
    <row r="17" customFormat="false" ht="15" hidden="false" customHeight="false" outlineLevel="0" collapsed="false">
      <c r="A17" s="6" t="s">
        <v>294</v>
      </c>
      <c r="B17" s="6" t="s">
        <v>295</v>
      </c>
      <c r="C17" s="6" t="s">
        <v>296</v>
      </c>
      <c r="D17" s="10" t="n">
        <v>22.2</v>
      </c>
      <c r="E17" s="10" t="n">
        <v>20.7</v>
      </c>
      <c r="F17" s="10" t="n">
        <v>19.6</v>
      </c>
      <c r="G17" s="10" t="n">
        <v>17.1</v>
      </c>
      <c r="H17" s="10" t="n">
        <v>23.9</v>
      </c>
      <c r="I17" s="10" t="n">
        <v>0</v>
      </c>
      <c r="J17" s="10" t="n">
        <v>0</v>
      </c>
      <c r="K17" s="10" t="n">
        <v>0</v>
      </c>
      <c r="L17" s="10" t="n">
        <v>0</v>
      </c>
      <c r="M17" s="10" t="n">
        <v>0</v>
      </c>
      <c r="N17" s="10" t="n">
        <v>0</v>
      </c>
      <c r="O17" s="10" t="n">
        <v>0</v>
      </c>
    </row>
    <row r="18" customFormat="false" ht="15" hidden="false" customHeight="false" outlineLevel="0" collapsed="false">
      <c r="A18" s="6" t="s">
        <v>297</v>
      </c>
      <c r="B18" s="6" t="s">
        <v>298</v>
      </c>
      <c r="C18" s="6" t="s">
        <v>299</v>
      </c>
      <c r="D18" s="10" t="n">
        <v>28.9</v>
      </c>
      <c r="E18" s="10" t="n">
        <v>26.6</v>
      </c>
      <c r="F18" s="10" t="n">
        <v>24.8</v>
      </c>
      <c r="G18" s="10" t="n">
        <v>18.7</v>
      </c>
      <c r="H18" s="10" t="n">
        <v>32</v>
      </c>
      <c r="I18" s="10" t="n">
        <v>74</v>
      </c>
      <c r="J18" s="10" t="n">
        <v>16</v>
      </c>
      <c r="K18" s="10" t="n">
        <v>0</v>
      </c>
      <c r="L18" s="10" t="n">
        <v>0</v>
      </c>
      <c r="M18" s="10" t="n">
        <v>0</v>
      </c>
      <c r="N18" s="10" t="n">
        <v>0</v>
      </c>
      <c r="O18" s="10" t="n">
        <v>0</v>
      </c>
    </row>
    <row r="19" customFormat="false" ht="15" hidden="false" customHeight="false" outlineLevel="0" collapsed="false">
      <c r="A19" s="6" t="s">
        <v>300</v>
      </c>
      <c r="B19" s="6" t="s">
        <v>301</v>
      </c>
      <c r="C19" s="6" t="s">
        <v>302</v>
      </c>
      <c r="D19" s="10" t="n">
        <v>28.3</v>
      </c>
      <c r="E19" s="10" t="n">
        <v>25.9</v>
      </c>
      <c r="F19" s="10" t="n">
        <v>24</v>
      </c>
      <c r="G19" s="10" t="n">
        <v>20</v>
      </c>
      <c r="H19" s="10" t="n">
        <v>31</v>
      </c>
      <c r="I19" s="10" t="n">
        <v>33</v>
      </c>
      <c r="J19" s="10" t="n">
        <v>3</v>
      </c>
      <c r="K19" s="10" t="n">
        <v>0</v>
      </c>
      <c r="L19" s="10" t="n">
        <v>0</v>
      </c>
      <c r="M19" s="10" t="n">
        <v>0</v>
      </c>
      <c r="N19" s="10" t="n">
        <v>0</v>
      </c>
      <c r="O19" s="10" t="n">
        <v>0</v>
      </c>
    </row>
    <row r="20" customFormat="false" ht="15" hidden="false" customHeight="false" outlineLevel="0" collapsed="false">
      <c r="A20" s="6" t="s">
        <v>303</v>
      </c>
      <c r="B20" s="6" t="s">
        <v>304</v>
      </c>
      <c r="C20" s="6" t="s">
        <v>305</v>
      </c>
      <c r="D20" s="10" t="n">
        <v>32.1</v>
      </c>
      <c r="E20" s="10" t="n">
        <v>29.8</v>
      </c>
      <c r="F20" s="10" t="n">
        <v>27.9</v>
      </c>
      <c r="G20" s="10" t="n">
        <v>19.8</v>
      </c>
      <c r="H20" s="10" t="n">
        <v>35</v>
      </c>
      <c r="I20" s="10" t="n">
        <v>241</v>
      </c>
      <c r="J20" s="10" t="n">
        <v>80</v>
      </c>
      <c r="K20" s="10" t="n">
        <v>34</v>
      </c>
      <c r="L20" s="10" t="n">
        <v>2</v>
      </c>
      <c r="M20" s="10" t="n">
        <v>0</v>
      </c>
      <c r="N20" s="10" t="n">
        <v>0</v>
      </c>
      <c r="O20" s="10" t="n">
        <v>0</v>
      </c>
    </row>
    <row r="21" customFormat="false" ht="15" hidden="false" customHeight="false" outlineLevel="0" collapsed="false">
      <c r="A21" s="6" t="s">
        <v>306</v>
      </c>
      <c r="B21" s="6" t="s">
        <v>307</v>
      </c>
      <c r="C21" s="6" t="s">
        <v>308</v>
      </c>
      <c r="D21" s="10" t="n">
        <v>31.8</v>
      </c>
      <c r="E21" s="10" t="n">
        <v>29.6</v>
      </c>
      <c r="F21" s="10" t="n">
        <v>27.6</v>
      </c>
      <c r="G21" s="10" t="n">
        <v>20.1</v>
      </c>
      <c r="H21" s="10" t="n">
        <v>36.3</v>
      </c>
      <c r="I21" s="10" t="n">
        <v>212</v>
      </c>
      <c r="J21" s="10" t="n">
        <v>67</v>
      </c>
      <c r="K21" s="10" t="n">
        <v>32</v>
      </c>
      <c r="L21" s="10" t="n">
        <v>13</v>
      </c>
      <c r="M21" s="10" t="n">
        <v>2</v>
      </c>
      <c r="N21" s="10" t="n">
        <v>0</v>
      </c>
      <c r="O21" s="10" t="n">
        <v>0</v>
      </c>
    </row>
    <row r="22" customFormat="false" ht="15" hidden="false" customHeight="false" outlineLevel="0" collapsed="false">
      <c r="A22" s="6" t="s">
        <v>309</v>
      </c>
      <c r="B22" s="6" t="s">
        <v>310</v>
      </c>
      <c r="C22" s="6" t="s">
        <v>311</v>
      </c>
      <c r="D22" s="10" t="n">
        <v>37.3</v>
      </c>
      <c r="E22" s="10" t="n">
        <v>36</v>
      </c>
      <c r="F22" s="10" t="n">
        <v>34.5</v>
      </c>
      <c r="G22" s="10" t="n">
        <v>18.2</v>
      </c>
      <c r="H22" s="10" t="n">
        <v>38.5</v>
      </c>
      <c r="I22" s="10" t="n">
        <v>1158</v>
      </c>
      <c r="J22" s="10" t="n">
        <v>716</v>
      </c>
      <c r="K22" s="10" t="n">
        <v>452</v>
      </c>
      <c r="L22" s="10" t="n">
        <v>270</v>
      </c>
      <c r="M22" s="10" t="n">
        <v>97</v>
      </c>
      <c r="N22" s="10" t="n">
        <v>4</v>
      </c>
      <c r="O22" s="10" t="n">
        <v>0</v>
      </c>
    </row>
    <row r="23" customFormat="false" ht="15" hidden="false" customHeight="false" outlineLevel="0" collapsed="false">
      <c r="A23" s="6" t="s">
        <v>312</v>
      </c>
      <c r="B23" s="6" t="s">
        <v>313</v>
      </c>
      <c r="C23" s="6" t="s">
        <v>314</v>
      </c>
      <c r="D23" s="10" t="n">
        <v>27.3</v>
      </c>
      <c r="E23" s="10" t="n">
        <v>25.4</v>
      </c>
      <c r="F23" s="10" t="n">
        <v>23.7</v>
      </c>
      <c r="G23" s="10" t="n">
        <v>18</v>
      </c>
      <c r="H23" s="10" t="n">
        <v>29.2</v>
      </c>
      <c r="I23" s="10" t="n">
        <v>7</v>
      </c>
      <c r="J23" s="10" t="n">
        <v>0</v>
      </c>
      <c r="K23" s="10" t="n">
        <v>0</v>
      </c>
      <c r="L23" s="10" t="n">
        <v>0</v>
      </c>
      <c r="M23" s="10" t="n">
        <v>0</v>
      </c>
      <c r="N23" s="10" t="n">
        <v>0</v>
      </c>
      <c r="O23" s="10" t="n">
        <v>0</v>
      </c>
    </row>
    <row r="24" customFormat="false" ht="15" hidden="false" customHeight="false" outlineLevel="0" collapsed="false">
      <c r="A24" s="6" t="s">
        <v>315</v>
      </c>
      <c r="B24" s="6" t="s">
        <v>316</v>
      </c>
      <c r="C24" s="6" t="s">
        <v>317</v>
      </c>
      <c r="D24" s="10" t="n">
        <v>26.3</v>
      </c>
      <c r="E24" s="10" t="n">
        <v>24.5</v>
      </c>
      <c r="F24" s="10" t="n">
        <v>22.5</v>
      </c>
      <c r="G24" s="10" t="n">
        <v>16.6</v>
      </c>
      <c r="H24" s="10" t="n">
        <v>30</v>
      </c>
      <c r="I24" s="10" t="n">
        <v>35</v>
      </c>
      <c r="J24" s="10" t="n">
        <v>0</v>
      </c>
      <c r="K24" s="10" t="n">
        <v>0</v>
      </c>
      <c r="L24" s="10" t="n">
        <v>0</v>
      </c>
      <c r="M24" s="10" t="n">
        <v>0</v>
      </c>
      <c r="N24" s="10" t="n">
        <v>0</v>
      </c>
      <c r="O24" s="10" t="n">
        <v>0</v>
      </c>
    </row>
    <row r="25" customFormat="false" ht="15" hidden="false" customHeight="false" outlineLevel="0" collapsed="false">
      <c r="A25" s="6" t="s">
        <v>318</v>
      </c>
      <c r="B25" s="6" t="s">
        <v>319</v>
      </c>
      <c r="C25" s="6" t="s">
        <v>320</v>
      </c>
      <c r="D25" s="10" t="n">
        <v>27.7</v>
      </c>
      <c r="E25" s="10" t="n">
        <v>25.9</v>
      </c>
      <c r="F25" s="10" t="n">
        <v>24.1</v>
      </c>
      <c r="G25" s="10" t="n">
        <v>18.8</v>
      </c>
      <c r="H25" s="10" t="n">
        <v>30.7</v>
      </c>
      <c r="I25" s="10" t="n">
        <v>40</v>
      </c>
      <c r="J25" s="10" t="n">
        <v>6</v>
      </c>
      <c r="K25" s="10" t="n">
        <v>0</v>
      </c>
      <c r="L25" s="10" t="n">
        <v>0</v>
      </c>
      <c r="M25" s="10" t="n">
        <v>0</v>
      </c>
      <c r="N25" s="10" t="n">
        <v>0</v>
      </c>
      <c r="O25" s="10" t="n">
        <v>0</v>
      </c>
    </row>
    <row r="26" customFormat="false" ht="15" hidden="false" customHeight="false" outlineLevel="0" collapsed="false">
      <c r="A26" s="6" t="s">
        <v>321</v>
      </c>
      <c r="B26" s="6" t="s">
        <v>322</v>
      </c>
      <c r="C26" s="6" t="s">
        <v>323</v>
      </c>
      <c r="D26" s="10" t="n">
        <v>33.4</v>
      </c>
      <c r="E26" s="10" t="n">
        <v>32.9</v>
      </c>
      <c r="F26" s="10" t="n">
        <v>32.4</v>
      </c>
      <c r="G26" s="10" t="n">
        <v>26.1</v>
      </c>
      <c r="H26" s="10" t="n">
        <v>34</v>
      </c>
      <c r="I26" s="10" t="n">
        <v>5339</v>
      </c>
      <c r="J26" s="10" t="n">
        <v>1448</v>
      </c>
      <c r="K26" s="10" t="n">
        <v>144</v>
      </c>
      <c r="L26" s="10" t="n">
        <v>0</v>
      </c>
      <c r="M26" s="10" t="n">
        <v>0</v>
      </c>
      <c r="N26" s="10" t="n">
        <v>0</v>
      </c>
      <c r="O26" s="10" t="n">
        <v>0</v>
      </c>
    </row>
    <row r="27" customFormat="false" ht="15" hidden="false" customHeight="false" outlineLevel="0" collapsed="false">
      <c r="A27" s="6" t="s">
        <v>324</v>
      </c>
      <c r="B27" s="6" t="s">
        <v>325</v>
      </c>
      <c r="C27" s="6" t="s">
        <v>326</v>
      </c>
      <c r="D27" s="10" t="n">
        <v>34.2</v>
      </c>
      <c r="E27" s="10" t="n">
        <v>33.5</v>
      </c>
      <c r="F27" s="10" t="n">
        <v>33.1</v>
      </c>
      <c r="G27" s="10" t="n">
        <v>27.4</v>
      </c>
      <c r="H27" s="10" t="n">
        <v>35</v>
      </c>
      <c r="I27" s="10" t="n">
        <v>3255</v>
      </c>
      <c r="J27" s="10" t="n">
        <v>1554</v>
      </c>
      <c r="K27" s="10" t="n">
        <v>458</v>
      </c>
      <c r="L27" s="10" t="n">
        <v>14</v>
      </c>
      <c r="M27" s="10" t="n">
        <v>0</v>
      </c>
      <c r="N27" s="10" t="n">
        <v>0</v>
      </c>
      <c r="O27" s="10" t="n">
        <v>0</v>
      </c>
    </row>
    <row r="28" customFormat="false" ht="15" hidden="false" customHeight="false" outlineLevel="0" collapsed="false">
      <c r="A28" s="6" t="s">
        <v>327</v>
      </c>
      <c r="B28" s="6" t="s">
        <v>328</v>
      </c>
      <c r="C28" s="6" t="s">
        <v>329</v>
      </c>
      <c r="D28" s="10" t="n">
        <v>33.8</v>
      </c>
      <c r="E28" s="10" t="n">
        <v>32.7</v>
      </c>
      <c r="F28" s="10" t="n">
        <v>31.6</v>
      </c>
      <c r="G28" s="10" t="n">
        <v>25.9</v>
      </c>
      <c r="H28" s="10" t="n">
        <v>35.3</v>
      </c>
      <c r="I28" s="10" t="n">
        <v>1092</v>
      </c>
      <c r="J28" s="10" t="n">
        <v>353</v>
      </c>
      <c r="K28" s="10" t="n">
        <v>139</v>
      </c>
      <c r="L28" s="10" t="n">
        <v>27</v>
      </c>
      <c r="M28" s="10" t="n">
        <v>0</v>
      </c>
      <c r="N28" s="10" t="n">
        <v>0</v>
      </c>
      <c r="O28" s="10" t="n">
        <v>0</v>
      </c>
    </row>
    <row r="29" customFormat="false" ht="15" hidden="false" customHeight="false" outlineLevel="0" collapsed="false">
      <c r="A29" s="6" t="s">
        <v>330</v>
      </c>
      <c r="B29" s="6" t="s">
        <v>330</v>
      </c>
      <c r="C29" s="6" t="s">
        <v>331</v>
      </c>
      <c r="D29" s="10" t="n">
        <v>34.6</v>
      </c>
      <c r="E29" s="10" t="n">
        <v>33.6</v>
      </c>
      <c r="F29" s="10" t="n">
        <v>32.6</v>
      </c>
      <c r="G29" s="10" t="n">
        <v>25.1</v>
      </c>
      <c r="H29" s="10" t="n">
        <v>37.4</v>
      </c>
      <c r="I29" s="10" t="n">
        <v>1520</v>
      </c>
      <c r="J29" s="10" t="n">
        <v>562</v>
      </c>
      <c r="K29" s="10" t="n">
        <v>278</v>
      </c>
      <c r="L29" s="10" t="n">
        <v>82</v>
      </c>
      <c r="M29" s="10" t="n">
        <v>17</v>
      </c>
      <c r="N29" s="10" t="n">
        <v>0</v>
      </c>
      <c r="O29" s="10" t="n">
        <v>0</v>
      </c>
    </row>
    <row r="30" customFormat="false" ht="15" hidden="false" customHeight="false" outlineLevel="0" collapsed="false">
      <c r="A30" s="6" t="s">
        <v>332</v>
      </c>
      <c r="B30" s="6" t="s">
        <v>332</v>
      </c>
      <c r="C30" s="6" t="s">
        <v>333</v>
      </c>
      <c r="D30" s="10" t="n">
        <v>32.9</v>
      </c>
      <c r="E30" s="10" t="n">
        <v>31.5</v>
      </c>
      <c r="F30" s="10" t="n">
        <v>30.2</v>
      </c>
      <c r="G30" s="10" t="n">
        <v>24.5</v>
      </c>
      <c r="H30" s="10" t="n">
        <v>35.7</v>
      </c>
      <c r="I30" s="10" t="n">
        <v>936</v>
      </c>
      <c r="J30" s="10" t="n">
        <v>277</v>
      </c>
      <c r="K30" s="10" t="n">
        <v>94</v>
      </c>
      <c r="L30" s="10" t="n">
        <v>15</v>
      </c>
      <c r="M30" s="10" t="n">
        <v>0</v>
      </c>
      <c r="N30" s="10" t="n">
        <v>0</v>
      </c>
      <c r="O30" s="10" t="n">
        <v>0</v>
      </c>
    </row>
    <row r="31" customFormat="false" ht="15" hidden="false" customHeight="false" outlineLevel="0" collapsed="false">
      <c r="A31" s="6" t="s">
        <v>334</v>
      </c>
      <c r="B31" s="6" t="s">
        <v>335</v>
      </c>
      <c r="C31" s="6" t="s">
        <v>336</v>
      </c>
      <c r="D31" s="10" t="n">
        <v>36.1</v>
      </c>
      <c r="E31" s="10" t="n">
        <v>35.1</v>
      </c>
      <c r="F31" s="10" t="n">
        <v>34.3</v>
      </c>
      <c r="G31" s="10" t="n">
        <v>22.3</v>
      </c>
      <c r="H31" s="10" t="n">
        <v>38.4</v>
      </c>
      <c r="I31" s="10" t="n">
        <v>5516</v>
      </c>
      <c r="J31" s="10" t="n">
        <v>2008</v>
      </c>
      <c r="K31" s="10" t="n">
        <v>727</v>
      </c>
      <c r="L31" s="10" t="n">
        <v>129</v>
      </c>
      <c r="M31" s="10" t="n">
        <v>15</v>
      </c>
      <c r="N31" s="10" t="n">
        <v>2</v>
      </c>
      <c r="O31" s="10" t="n">
        <v>0</v>
      </c>
    </row>
    <row r="32" customFormat="false" ht="15" hidden="false" customHeight="false" outlineLevel="0" collapsed="false">
      <c r="A32" s="6" t="s">
        <v>337</v>
      </c>
      <c r="B32" s="6" t="s">
        <v>338</v>
      </c>
      <c r="C32" s="6" t="s">
        <v>339</v>
      </c>
      <c r="D32" s="10" t="n">
        <v>39</v>
      </c>
      <c r="E32" s="10" t="n">
        <v>37.8</v>
      </c>
      <c r="F32" s="10" t="n">
        <v>36.7</v>
      </c>
      <c r="G32" s="10" t="n">
        <v>26.3</v>
      </c>
      <c r="H32" s="10" t="n">
        <v>41</v>
      </c>
      <c r="I32" s="10" t="n">
        <v>5907</v>
      </c>
      <c r="J32" s="10" t="n">
        <v>2778</v>
      </c>
      <c r="K32" s="10" t="n">
        <v>1523</v>
      </c>
      <c r="L32" s="10" t="n">
        <v>658</v>
      </c>
      <c r="M32" s="10" t="n">
        <v>203</v>
      </c>
      <c r="N32" s="10" t="n">
        <v>37</v>
      </c>
      <c r="O32" s="10" t="n">
        <v>3</v>
      </c>
    </row>
    <row r="33" customFormat="false" ht="15" hidden="false" customHeight="false" outlineLevel="0" collapsed="false">
      <c r="A33" s="6" t="s">
        <v>340</v>
      </c>
      <c r="B33" s="6" t="s">
        <v>341</v>
      </c>
      <c r="C33" s="6" t="s">
        <v>342</v>
      </c>
      <c r="D33" s="10" t="n">
        <v>39.8</v>
      </c>
      <c r="E33" s="10" t="n">
        <v>38.6</v>
      </c>
      <c r="F33" s="10" t="n">
        <v>37.5</v>
      </c>
      <c r="G33" s="10" t="n">
        <v>21.7</v>
      </c>
      <c r="H33" s="10" t="n">
        <v>41</v>
      </c>
      <c r="I33" s="10" t="n">
        <v>3089</v>
      </c>
      <c r="J33" s="10" t="n">
        <v>1463</v>
      </c>
      <c r="K33" s="10" t="n">
        <v>840</v>
      </c>
      <c r="L33" s="10" t="n">
        <v>446</v>
      </c>
      <c r="M33" s="10" t="n">
        <v>207</v>
      </c>
      <c r="N33" s="10" t="n">
        <v>61</v>
      </c>
      <c r="O33" s="10" t="n">
        <v>1</v>
      </c>
    </row>
    <row r="34" customFormat="false" ht="15" hidden="false" customHeight="false" outlineLevel="0" collapsed="false">
      <c r="A34" s="6" t="s">
        <v>343</v>
      </c>
      <c r="B34" s="6" t="s">
        <v>344</v>
      </c>
      <c r="C34" s="6" t="s">
        <v>345</v>
      </c>
      <c r="D34" s="10" t="n">
        <v>33.6</v>
      </c>
      <c r="E34" s="10" t="n">
        <v>30.9</v>
      </c>
      <c r="F34" s="10" t="n">
        <v>29.1</v>
      </c>
      <c r="G34" s="10" t="n">
        <v>19.7</v>
      </c>
      <c r="H34" s="10" t="n">
        <v>45.5</v>
      </c>
      <c r="I34" s="10" t="n">
        <v>446</v>
      </c>
      <c r="J34" s="10" t="n">
        <v>158</v>
      </c>
      <c r="K34" s="10" t="n">
        <v>80</v>
      </c>
      <c r="L34" s="10" t="n">
        <v>53</v>
      </c>
      <c r="M34" s="10" t="n">
        <v>34</v>
      </c>
      <c r="N34" s="10" t="n">
        <v>21</v>
      </c>
      <c r="O34" s="10" t="n">
        <v>15</v>
      </c>
    </row>
    <row r="35" customFormat="false" ht="15" hidden="false" customHeight="false" outlineLevel="0" collapsed="false">
      <c r="A35" s="6" t="s">
        <v>346</v>
      </c>
      <c r="B35" s="6" t="s">
        <v>347</v>
      </c>
      <c r="C35" s="6" t="s">
        <v>348</v>
      </c>
      <c r="D35" s="10" t="n">
        <v>35.4</v>
      </c>
      <c r="E35" s="10" t="n">
        <v>32.8</v>
      </c>
      <c r="F35" s="10" t="n">
        <v>30.3</v>
      </c>
      <c r="G35" s="10" t="n">
        <v>18.3</v>
      </c>
      <c r="H35" s="10" t="n">
        <v>40</v>
      </c>
      <c r="I35" s="10" t="n">
        <v>359</v>
      </c>
      <c r="J35" s="10" t="n">
        <v>188</v>
      </c>
      <c r="K35" s="10" t="n">
        <v>88</v>
      </c>
      <c r="L35" s="10" t="n">
        <v>36</v>
      </c>
      <c r="M35" s="10" t="n">
        <v>20</v>
      </c>
      <c r="N35" s="10" t="n">
        <v>7</v>
      </c>
      <c r="O35" s="10" t="n">
        <v>0</v>
      </c>
    </row>
    <row r="36" customFormat="false" ht="15" hidden="false" customHeight="false" outlineLevel="0" collapsed="false">
      <c r="A36" s="6" t="s">
        <v>349</v>
      </c>
      <c r="B36" s="6" t="s">
        <v>350</v>
      </c>
      <c r="C36" s="6" t="s">
        <v>351</v>
      </c>
      <c r="D36" s="10" t="n">
        <v>45.2</v>
      </c>
      <c r="E36" s="10" t="n">
        <v>43.9</v>
      </c>
      <c r="F36" s="10" t="n">
        <v>42.6</v>
      </c>
      <c r="G36" s="10" t="n">
        <v>23</v>
      </c>
      <c r="H36" s="10" t="n">
        <v>48</v>
      </c>
      <c r="I36" s="10" t="n">
        <v>5189</v>
      </c>
      <c r="J36" s="10" t="n">
        <v>4081</v>
      </c>
      <c r="K36" s="10" t="n">
        <v>3098</v>
      </c>
      <c r="L36" s="10" t="n">
        <v>2196</v>
      </c>
      <c r="M36" s="10" t="n">
        <v>1467</v>
      </c>
      <c r="N36" s="10" t="n">
        <v>875</v>
      </c>
      <c r="O36" s="10" t="n">
        <v>416</v>
      </c>
    </row>
    <row r="37" customFormat="false" ht="15" hidden="false" customHeight="false" outlineLevel="0" collapsed="false">
      <c r="A37" s="6" t="s">
        <v>352</v>
      </c>
      <c r="B37" s="6" t="s">
        <v>353</v>
      </c>
      <c r="C37" s="6" t="s">
        <v>354</v>
      </c>
      <c r="D37" s="10" t="n">
        <v>45</v>
      </c>
      <c r="E37" s="10" t="n">
        <v>44.2</v>
      </c>
      <c r="F37" s="10" t="n">
        <v>43.4</v>
      </c>
      <c r="G37" s="10" t="n">
        <v>19.2</v>
      </c>
      <c r="H37" s="10" t="n">
        <v>46</v>
      </c>
      <c r="I37" s="10" t="n">
        <v>4426</v>
      </c>
      <c r="J37" s="10" t="n">
        <v>3420</v>
      </c>
      <c r="K37" s="10" t="n">
        <v>2771</v>
      </c>
      <c r="L37" s="10" t="n">
        <v>2226</v>
      </c>
      <c r="M37" s="10" t="n">
        <v>1692</v>
      </c>
      <c r="N37" s="10" t="n">
        <v>1244</v>
      </c>
      <c r="O37" s="10" t="n">
        <v>782</v>
      </c>
    </row>
    <row r="38" customFormat="false" ht="15" hidden="false" customHeight="false" outlineLevel="0" collapsed="false">
      <c r="A38" s="6" t="s">
        <v>355</v>
      </c>
      <c r="B38" s="6" t="s">
        <v>356</v>
      </c>
      <c r="C38" s="6" t="s">
        <v>357</v>
      </c>
      <c r="D38" s="10" t="n">
        <v>32.6</v>
      </c>
      <c r="E38" s="10" t="n">
        <v>31.5</v>
      </c>
      <c r="F38" s="10" t="n">
        <v>30.5</v>
      </c>
      <c r="G38" s="10" t="n">
        <v>21.1</v>
      </c>
      <c r="H38" s="10" t="n">
        <v>37</v>
      </c>
      <c r="I38" s="10" t="n">
        <v>768</v>
      </c>
      <c r="J38" s="10" t="n">
        <v>211</v>
      </c>
      <c r="K38" s="10" t="n">
        <v>57</v>
      </c>
      <c r="L38" s="10" t="n">
        <v>5</v>
      </c>
      <c r="M38" s="10" t="n">
        <v>2</v>
      </c>
      <c r="N38" s="10" t="n">
        <v>0</v>
      </c>
      <c r="O38" s="10" t="n">
        <v>0</v>
      </c>
    </row>
    <row r="39" customFormat="false" ht="15" hidden="false" customHeight="false" outlineLevel="0" collapsed="false">
      <c r="A39" s="6" t="s">
        <v>358</v>
      </c>
      <c r="B39" s="6" t="s">
        <v>359</v>
      </c>
      <c r="C39" s="6" t="s">
        <v>360</v>
      </c>
      <c r="D39" s="10" t="n">
        <v>32.4</v>
      </c>
      <c r="E39" s="10" t="n">
        <v>31.2</v>
      </c>
      <c r="F39" s="10" t="n">
        <v>30.1</v>
      </c>
      <c r="G39" s="10" t="n">
        <v>17</v>
      </c>
      <c r="H39" s="10" t="n">
        <v>38</v>
      </c>
      <c r="I39" s="10" t="n">
        <v>653</v>
      </c>
      <c r="J39" s="10" t="n">
        <v>177</v>
      </c>
      <c r="K39" s="10" t="n">
        <v>52</v>
      </c>
      <c r="L39" s="10" t="n">
        <v>16</v>
      </c>
      <c r="M39" s="10" t="n">
        <v>4</v>
      </c>
      <c r="N39" s="10" t="n">
        <v>0</v>
      </c>
      <c r="O39" s="10" t="n">
        <v>0</v>
      </c>
    </row>
    <row r="40" customFormat="false" ht="15" hidden="false" customHeight="false" outlineLevel="0" collapsed="false">
      <c r="A40" s="6" t="s">
        <v>361</v>
      </c>
      <c r="B40" s="6" t="s">
        <v>361</v>
      </c>
      <c r="C40" s="6" t="s">
        <v>362</v>
      </c>
      <c r="D40" s="10" t="n">
        <v>32.2</v>
      </c>
      <c r="E40" s="10" t="n">
        <v>31</v>
      </c>
      <c r="F40" s="10" t="n">
        <v>30</v>
      </c>
      <c r="G40" s="10" t="n">
        <v>15.4</v>
      </c>
      <c r="H40" s="10" t="n">
        <v>34.6</v>
      </c>
      <c r="I40" s="10" t="n">
        <v>709</v>
      </c>
      <c r="J40" s="10" t="n">
        <v>178</v>
      </c>
      <c r="K40" s="10" t="n">
        <v>37</v>
      </c>
      <c r="L40" s="10" t="n">
        <v>2</v>
      </c>
      <c r="M40" s="10" t="n">
        <v>0</v>
      </c>
      <c r="N40" s="10" t="n">
        <v>0</v>
      </c>
      <c r="O40" s="10" t="n">
        <v>0</v>
      </c>
    </row>
    <row r="41" customFormat="false" ht="15" hidden="false" customHeight="false" outlineLevel="0" collapsed="false">
      <c r="A41" s="6" t="s">
        <v>363</v>
      </c>
      <c r="B41" s="6" t="s">
        <v>364</v>
      </c>
      <c r="C41" s="6" t="s">
        <v>365</v>
      </c>
      <c r="D41" s="10" t="n">
        <v>29.5</v>
      </c>
      <c r="E41" s="10" t="n">
        <v>28.7</v>
      </c>
      <c r="F41" s="10" t="n">
        <v>27.9</v>
      </c>
      <c r="G41" s="10" t="n">
        <v>16.1</v>
      </c>
      <c r="H41" s="10" t="n">
        <v>32</v>
      </c>
      <c r="I41" s="10" t="n">
        <v>305</v>
      </c>
      <c r="J41" s="10" t="n">
        <v>12</v>
      </c>
      <c r="K41" s="10" t="n">
        <v>0</v>
      </c>
      <c r="L41" s="10" t="n">
        <v>0</v>
      </c>
      <c r="M41" s="10" t="n">
        <v>0</v>
      </c>
      <c r="N41" s="10" t="n">
        <v>0</v>
      </c>
      <c r="O41" s="10" t="n">
        <v>0</v>
      </c>
    </row>
    <row r="42" customFormat="false" ht="15" hidden="false" customHeight="false" outlineLevel="0" collapsed="false">
      <c r="A42" s="6" t="s">
        <v>366</v>
      </c>
      <c r="B42" s="6" t="s">
        <v>367</v>
      </c>
      <c r="C42" s="6" t="s">
        <v>368</v>
      </c>
      <c r="D42" s="10" t="n">
        <v>29.2</v>
      </c>
      <c r="E42" s="10" t="n">
        <v>28.1</v>
      </c>
      <c r="F42" s="10" t="n">
        <v>27</v>
      </c>
      <c r="G42" s="10" t="n">
        <v>14.7</v>
      </c>
      <c r="H42" s="10" t="n">
        <v>32.4</v>
      </c>
      <c r="I42" s="10" t="n">
        <v>208</v>
      </c>
      <c r="J42" s="10" t="n">
        <v>4</v>
      </c>
      <c r="K42" s="10" t="n">
        <v>1</v>
      </c>
      <c r="L42" s="10" t="n">
        <v>0</v>
      </c>
      <c r="M42" s="10" t="n">
        <v>0</v>
      </c>
      <c r="N42" s="10" t="n">
        <v>0</v>
      </c>
      <c r="O42" s="10" t="n">
        <v>0</v>
      </c>
    </row>
    <row r="43" customFormat="false" ht="15" hidden="false" customHeight="false" outlineLevel="0" collapsed="fals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customFormat="false" ht="48" hidden="false" customHeight="true" outlineLevel="0" collapsed="false">
      <c r="A44" s="28" t="s">
        <v>369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</row>
  </sheetData>
  <mergeCells count="1">
    <mergeCell ref="A44:O4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2026-10-24T02:24:22Z</dcterms:created>
  <dc:creator>openpyxl</dc:creator>
  <dc:description/>
  <dc:language>en-US</dc:language>
  <cp:lastModifiedBy/>
  <dcterms:modified xsi:type="dcterms:W3CDTF">2026-10-24T02:24:22Z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